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GD - A1" sheetId="1" r:id="rId4"/>
    <sheet state="visible" name="IGD - A2" sheetId="2" r:id="rId5"/>
    <sheet state="visible" name="IGD - A3" sheetId="3" r:id="rId6"/>
    <sheet state="visible" name="HV (Min.)- A1" sheetId="4" r:id="rId7"/>
    <sheet state="visible" name="HV (Min.)- A2" sheetId="5" r:id="rId8"/>
    <sheet state="visible" name="HV (Min.)- A3" sheetId="6" r:id="rId9"/>
    <sheet state="visible" name="HV (Max.) - A1" sheetId="7" r:id="rId10"/>
    <sheet state="visible" name="HV (Max.) - A2" sheetId="8" r:id="rId11"/>
    <sheet state="visible" name="HV (Max.) - A3" sheetId="9" r:id="rId12"/>
    <sheet state="visible" name="GAP HV" sheetId="10" r:id="rId13"/>
  </sheets>
  <definedNames/>
  <calcPr/>
</workbook>
</file>

<file path=xl/sharedStrings.xml><?xml version="1.0" encoding="utf-8"?>
<sst xmlns="http://schemas.openxmlformats.org/spreadsheetml/2006/main" count="798" uniqueCount="69">
  <si>
    <t>Instances</t>
  </si>
  <si>
    <t>ASYMMETRIC</t>
  </si>
  <si>
    <t>SYMMETRIC</t>
  </si>
  <si>
    <t>symmetric</t>
  </si>
  <si>
    <t>asymmetric</t>
  </si>
  <si>
    <t>Mean</t>
  </si>
  <si>
    <t>Median</t>
  </si>
  <si>
    <t>Standard deviation</t>
  </si>
  <si>
    <t>NH1</t>
  </si>
  <si>
    <t>NH2</t>
  </si>
  <si>
    <t>NH3</t>
  </si>
  <si>
    <t>IBEA</t>
  </si>
  <si>
    <t>NSGA-II</t>
  </si>
  <si>
    <t>MOEA/D</t>
  </si>
  <si>
    <t>SPEA2</t>
  </si>
  <si>
    <t>MPLS</t>
  </si>
  <si>
    <t>5.1</t>
  </si>
  <si>
    <t>5.2</t>
  </si>
  <si>
    <t>5.3</t>
  </si>
  <si>
    <t>5.4</t>
  </si>
  <si>
    <t>5.5</t>
  </si>
  <si>
    <t>5.6</t>
  </si>
  <si>
    <t>8.1</t>
  </si>
  <si>
    <t>8.2</t>
  </si>
  <si>
    <t>8.3</t>
  </si>
  <si>
    <t>8.4</t>
  </si>
  <si>
    <t>8.5</t>
  </si>
  <si>
    <t>8.6</t>
  </si>
  <si>
    <t>10.1</t>
  </si>
  <si>
    <t>10.2</t>
  </si>
  <si>
    <t>10.3</t>
  </si>
  <si>
    <t>10.4</t>
  </si>
  <si>
    <t>10.5</t>
  </si>
  <si>
    <t>10.6</t>
  </si>
  <si>
    <t>20.1</t>
  </si>
  <si>
    <t>20.2</t>
  </si>
  <si>
    <t>20.3</t>
  </si>
  <si>
    <t>20.4</t>
  </si>
  <si>
    <t>20.5</t>
  </si>
  <si>
    <t>20.6</t>
  </si>
  <si>
    <t>50.1</t>
  </si>
  <si>
    <t>50.2</t>
  </si>
  <si>
    <t>50.3</t>
  </si>
  <si>
    <t>50.4</t>
  </si>
  <si>
    <t>50.5</t>
  </si>
  <si>
    <t>50.6</t>
  </si>
  <si>
    <t>100.1</t>
  </si>
  <si>
    <t>100.2</t>
  </si>
  <si>
    <t>100.3</t>
  </si>
  <si>
    <t>100.4</t>
  </si>
  <si>
    <t>100.5</t>
  </si>
  <si>
    <t>100.6</t>
  </si>
  <si>
    <t>200.1</t>
  </si>
  <si>
    <t>-</t>
  </si>
  <si>
    <t>200.2</t>
  </si>
  <si>
    <t>200.3</t>
  </si>
  <si>
    <t>200.4</t>
  </si>
  <si>
    <t>200.5</t>
  </si>
  <si>
    <t>200.6</t>
  </si>
  <si>
    <t>SPEA-II</t>
  </si>
  <si>
    <t>Solver</t>
  </si>
  <si>
    <t>NSGA II</t>
  </si>
  <si>
    <t>SPEA II</t>
  </si>
  <si>
    <t>A1</t>
  </si>
  <si>
    <t>Solver results</t>
  </si>
  <si>
    <t>GAP to HV</t>
  </si>
  <si>
    <t>HV (Max)</t>
  </si>
  <si>
    <t>A2</t>
  </si>
  <si>
    <t>A3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</si>
</sst>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b/>
      <sz val="11.0"/>
      <color theme="1"/>
      <name val="Calibri"/>
    </font>
    <font/>
    <font>
      <b/>
      <color rgb="FFFFFFFF"/>
      <name val="Arial"/>
      <scheme val="minor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38761D"/>
        <bgColor rgb="FF38761D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vertical="center"/>
    </xf>
    <xf borderId="0" fillId="2" fontId="2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2" numFmtId="0" xfId="0" applyFont="1"/>
    <xf borderId="1" fillId="0" fontId="3" numFmtId="0" xfId="0" applyAlignment="1" applyBorder="1" applyFont="1">
      <alignment horizontal="center" vertical="top"/>
    </xf>
    <xf borderId="2" fillId="0" fontId="4" numFmtId="0" xfId="0" applyBorder="1" applyFont="1"/>
    <xf borderId="3" fillId="0" fontId="4" numFmtId="0" xfId="0" applyBorder="1" applyFont="1"/>
    <xf borderId="0" fillId="4" fontId="5" numFmtId="0" xfId="0" applyAlignment="1" applyFill="1" applyFont="1">
      <alignment horizontal="center" readingOrder="0"/>
    </xf>
    <xf borderId="4" fillId="0" fontId="3" numFmtId="0" xfId="0" applyAlignment="1" applyBorder="1" applyFont="1">
      <alignment horizontal="center" vertical="top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1" numFmtId="49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" numFmtId="49" xfId="0" applyFont="1" applyNumberFormat="1"/>
    <xf borderId="0" fillId="2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7" fontId="8" numFmtId="0" xfId="0" applyAlignment="1" applyFill="1" applyFont="1">
      <alignment readingOrder="0"/>
    </xf>
    <xf borderId="0" fillId="8" fontId="8" numFmtId="0" xfId="0" applyAlignment="1" applyFill="1" applyFont="1">
      <alignment readingOrder="0"/>
    </xf>
    <xf borderId="4" fillId="2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5" fontId="1" numFmtId="0" xfId="0" applyAlignment="1" applyBorder="1" applyFont="1">
      <alignment readingOrder="0"/>
    </xf>
    <xf borderId="4" fillId="6" fontId="1" numFmtId="0" xfId="0" applyAlignment="1" applyBorder="1" applyFont="1">
      <alignment readingOrder="0"/>
    </xf>
    <xf borderId="5" fillId="7" fontId="8" numFmtId="11" xfId="0" applyAlignment="1" applyBorder="1" applyFont="1" applyNumberFormat="1">
      <alignment readingOrder="0"/>
    </xf>
    <xf borderId="0" fillId="7" fontId="8" numFmtId="4" xfId="0" applyAlignment="1" applyFont="1" applyNumberFormat="1">
      <alignment readingOrder="0"/>
    </xf>
    <xf borderId="5" fillId="8" fontId="8" numFmtId="11" xfId="0" applyAlignment="1" applyBorder="1" applyFont="1" applyNumberFormat="1">
      <alignment readingOrder="0"/>
    </xf>
    <xf borderId="0" fillId="8" fontId="8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Q1" s="3" t="s">
        <v>2</v>
      </c>
      <c r="AF1" s="4"/>
      <c r="AG1" s="5" t="s">
        <v>3</v>
      </c>
      <c r="AH1" s="6"/>
      <c r="AI1" s="7"/>
      <c r="AJ1" s="5" t="s">
        <v>4</v>
      </c>
      <c r="AK1" s="6"/>
      <c r="AL1" s="7"/>
    </row>
    <row r="2">
      <c r="B2" s="8" t="s">
        <v>5</v>
      </c>
      <c r="G2" s="8" t="s">
        <v>6</v>
      </c>
      <c r="L2" s="8" t="s">
        <v>7</v>
      </c>
      <c r="Q2" s="3" t="s">
        <v>5</v>
      </c>
      <c r="V2" s="3" t="s">
        <v>6</v>
      </c>
      <c r="AA2" s="3" t="s">
        <v>7</v>
      </c>
      <c r="AF2" s="4"/>
      <c r="AG2" s="9" t="s">
        <v>8</v>
      </c>
      <c r="AH2" s="9" t="s">
        <v>9</v>
      </c>
      <c r="AI2" s="9" t="s">
        <v>10</v>
      </c>
      <c r="AJ2" s="9" t="s">
        <v>8</v>
      </c>
      <c r="AK2" s="9" t="s">
        <v>9</v>
      </c>
      <c r="AL2" s="9" t="s">
        <v>10</v>
      </c>
    </row>
    <row r="3"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1" t="s">
        <v>11</v>
      </c>
      <c r="R3" s="11" t="s">
        <v>12</v>
      </c>
      <c r="S3" s="11" t="s">
        <v>13</v>
      </c>
      <c r="T3" s="11" t="s">
        <v>14</v>
      </c>
      <c r="U3" s="11" t="s">
        <v>15</v>
      </c>
      <c r="V3" s="11" t="s">
        <v>11</v>
      </c>
      <c r="W3" s="11" t="s">
        <v>12</v>
      </c>
      <c r="X3" s="11" t="s">
        <v>13</v>
      </c>
      <c r="Y3" s="11" t="s">
        <v>14</v>
      </c>
      <c r="Z3" s="11" t="s">
        <v>15</v>
      </c>
      <c r="AA3" s="11" t="s">
        <v>11</v>
      </c>
      <c r="AB3" s="11" t="s">
        <v>12</v>
      </c>
      <c r="AC3" s="11" t="s">
        <v>13</v>
      </c>
      <c r="AD3" s="11" t="s">
        <v>14</v>
      </c>
      <c r="AE3" s="11" t="s">
        <v>15</v>
      </c>
      <c r="AF3" s="12"/>
      <c r="AG3" s="13"/>
      <c r="AH3" s="13"/>
      <c r="AI3" s="13"/>
      <c r="AJ3" s="13"/>
      <c r="AK3" s="13"/>
      <c r="AL3" s="13"/>
    </row>
    <row r="4">
      <c r="A4" s="14" t="s">
        <v>16</v>
      </c>
      <c r="B4" s="15">
        <v>0.00106</v>
      </c>
      <c r="C4" s="16">
        <v>0.034888</v>
      </c>
      <c r="D4" s="16">
        <v>0.012819</v>
      </c>
      <c r="E4" s="16">
        <v>0.00106</v>
      </c>
      <c r="F4" s="16">
        <v>0.009983999999999998</v>
      </c>
      <c r="G4" s="16">
        <v>0.00106</v>
      </c>
      <c r="H4" s="16">
        <v>0.03289</v>
      </c>
      <c r="I4" s="16">
        <v>0.01837</v>
      </c>
      <c r="J4" s="16">
        <v>0.00106</v>
      </c>
      <c r="K4" s="16">
        <v>0.00106</v>
      </c>
      <c r="L4" s="16">
        <v>2.168404344971009E-19</v>
      </c>
      <c r="M4" s="16">
        <v>0.005637611728382861</v>
      </c>
      <c r="N4" s="16">
        <v>0.007827960079101068</v>
      </c>
      <c r="O4" s="16">
        <v>2.168404344971009E-19</v>
      </c>
      <c r="P4" s="16">
        <v>0.01479391374856566</v>
      </c>
      <c r="Q4" s="15">
        <v>0.0</v>
      </c>
      <c r="R4" s="15">
        <v>0.04745949999999999</v>
      </c>
      <c r="S4" s="15">
        <v>6.63E-4</v>
      </c>
      <c r="T4" s="15">
        <v>0.0</v>
      </c>
      <c r="U4" s="15">
        <v>0.108987</v>
      </c>
      <c r="V4" s="15">
        <v>0.0</v>
      </c>
      <c r="W4" s="15">
        <v>0.04296</v>
      </c>
      <c r="X4" s="15">
        <v>0.0</v>
      </c>
      <c r="Y4" s="15">
        <v>0.0</v>
      </c>
      <c r="Z4" s="15">
        <v>0.10395</v>
      </c>
      <c r="AA4" s="15">
        <v>0.0</v>
      </c>
      <c r="AB4" s="16">
        <v>0.02321284460702738</v>
      </c>
      <c r="AC4" s="16">
        <v>0.001989</v>
      </c>
      <c r="AD4" s="16">
        <v>0.0</v>
      </c>
      <c r="AE4" s="16">
        <v>0.01367191175366489</v>
      </c>
      <c r="AG4" s="16">
        <v>0.5381</v>
      </c>
      <c r="AH4" s="16">
        <v>0.5381</v>
      </c>
      <c r="AI4" s="16">
        <v>0.17814</v>
      </c>
      <c r="AJ4" s="16">
        <v>0.72375</v>
      </c>
      <c r="AK4" s="16">
        <v>0.72375</v>
      </c>
      <c r="AL4" s="16">
        <v>0.13172</v>
      </c>
    </row>
    <row r="5">
      <c r="A5" s="14" t="s">
        <v>17</v>
      </c>
      <c r="B5" s="15">
        <v>0.0</v>
      </c>
      <c r="C5" s="16">
        <v>0.0433145</v>
      </c>
      <c r="D5" s="16">
        <v>2.23E-4</v>
      </c>
      <c r="E5" s="16">
        <v>0.0</v>
      </c>
      <c r="F5" s="16">
        <v>0.028173</v>
      </c>
      <c r="G5" s="16">
        <v>0.0</v>
      </c>
      <c r="H5" s="16">
        <v>0.041175</v>
      </c>
      <c r="I5" s="16">
        <v>0.0</v>
      </c>
      <c r="J5" s="16">
        <v>0.0</v>
      </c>
      <c r="K5" s="16">
        <v>0.023915</v>
      </c>
      <c r="L5" s="16">
        <v>0.0</v>
      </c>
      <c r="M5" s="16">
        <v>0.0143007948992355</v>
      </c>
      <c r="N5" s="16">
        <v>9.720344644095701E-4</v>
      </c>
      <c r="O5" s="16">
        <v>0.0</v>
      </c>
      <c r="P5" s="16">
        <v>0.01692060817464904</v>
      </c>
      <c r="Q5" s="15">
        <v>8.699999999999999E-4</v>
      </c>
      <c r="R5" s="15">
        <v>0.047902</v>
      </c>
      <c r="S5" s="15">
        <v>0.001333</v>
      </c>
      <c r="T5" s="15">
        <v>8.699999999999999E-4</v>
      </c>
      <c r="U5" s="15">
        <v>0.0860025</v>
      </c>
      <c r="V5" s="15">
        <v>8.7E-4</v>
      </c>
      <c r="W5" s="15">
        <v>0.039185</v>
      </c>
      <c r="X5" s="15">
        <v>8.7E-4</v>
      </c>
      <c r="Y5" s="15">
        <v>8.7E-4</v>
      </c>
      <c r="Z5" s="15">
        <v>0.08478</v>
      </c>
      <c r="AA5" s="15">
        <v>1.084202172485504E-19</v>
      </c>
      <c r="AB5" s="16">
        <v>0.02157692067928137</v>
      </c>
      <c r="AC5" s="16">
        <v>0.002018170210859332</v>
      </c>
      <c r="AD5" s="16">
        <v>1.084202172485504E-19</v>
      </c>
      <c r="AE5" s="16">
        <v>0.006163243362873156</v>
      </c>
      <c r="AG5" s="16">
        <v>0.72719</v>
      </c>
      <c r="AH5" s="16">
        <v>0.5217</v>
      </c>
      <c r="AI5" s="16">
        <v>0.16888</v>
      </c>
      <c r="AJ5" s="16">
        <v>0.63947</v>
      </c>
      <c r="AK5" s="16">
        <v>0.52461</v>
      </c>
      <c r="AL5" s="16">
        <v>0.20439</v>
      </c>
    </row>
    <row r="6">
      <c r="A6" s="14" t="s">
        <v>18</v>
      </c>
      <c r="B6" s="15">
        <v>0.0060625</v>
      </c>
      <c r="C6" s="16">
        <v>0.07586999999999999</v>
      </c>
      <c r="D6" s="16">
        <v>0.008825</v>
      </c>
      <c r="E6" s="16">
        <v>0.00224</v>
      </c>
      <c r="F6" s="16">
        <v>0.010713</v>
      </c>
      <c r="G6" s="16">
        <v>0.00919</v>
      </c>
      <c r="H6" s="16">
        <v>0.07366500000000001</v>
      </c>
      <c r="I6" s="16">
        <v>0.00919</v>
      </c>
      <c r="J6" s="16">
        <v>0.00224</v>
      </c>
      <c r="K6" s="16">
        <v>0.00224</v>
      </c>
      <c r="L6" s="16">
        <v>0.003457581343945504</v>
      </c>
      <c r="M6" s="16">
        <v>0.04010887619966434</v>
      </c>
      <c r="N6" s="16">
        <v>0.002289437703891504</v>
      </c>
      <c r="O6" s="16">
        <v>0.0</v>
      </c>
      <c r="P6" s="16">
        <v>0.02720769304810682</v>
      </c>
      <c r="Q6" s="15">
        <v>0.007299999999999999</v>
      </c>
      <c r="R6" s="15">
        <v>0.024173</v>
      </c>
      <c r="S6" s="15">
        <v>0.007845000000000001</v>
      </c>
      <c r="T6" s="15">
        <v>0.007299999999999999</v>
      </c>
      <c r="U6" s="15">
        <v>0.038755</v>
      </c>
      <c r="V6" s="15">
        <v>0.0073</v>
      </c>
      <c r="W6" s="15">
        <v>0.02888</v>
      </c>
      <c r="X6" s="15">
        <v>0.0073</v>
      </c>
      <c r="Y6" s="15">
        <v>0.0073</v>
      </c>
      <c r="Z6" s="15">
        <v>0.033125</v>
      </c>
      <c r="AA6" s="15">
        <v>8.673617379884035E-19</v>
      </c>
      <c r="AB6" s="16">
        <v>0.006327821979164711</v>
      </c>
      <c r="AC6" s="16">
        <v>0.002375599924229667</v>
      </c>
      <c r="AD6" s="16">
        <v>8.673617379884035E-19</v>
      </c>
      <c r="AE6" s="16">
        <v>0.01144093025063959</v>
      </c>
      <c r="AG6" s="16">
        <v>0.78472</v>
      </c>
      <c r="AH6" s="16">
        <v>0.70007</v>
      </c>
      <c r="AI6" s="16">
        <v>0.09852</v>
      </c>
      <c r="AJ6" s="16">
        <v>0.74642</v>
      </c>
      <c r="AK6" s="16">
        <v>0.60331</v>
      </c>
      <c r="AL6" s="16">
        <v>0.11329</v>
      </c>
    </row>
    <row r="7">
      <c r="A7" s="14" t="s">
        <v>19</v>
      </c>
      <c r="B7" s="15">
        <v>0.0</v>
      </c>
      <c r="C7" s="16">
        <v>0.0290265</v>
      </c>
      <c r="D7" s="16">
        <v>0.004654</v>
      </c>
      <c r="E7" s="16">
        <v>0.0</v>
      </c>
      <c r="F7" s="16">
        <v>0.02815400000000001</v>
      </c>
      <c r="G7" s="16">
        <v>0.0</v>
      </c>
      <c r="H7" s="16">
        <v>0.02678</v>
      </c>
      <c r="I7" s="16">
        <v>0.005765</v>
      </c>
      <c r="J7" s="16">
        <v>0.0</v>
      </c>
      <c r="K7" s="16">
        <v>0.0269</v>
      </c>
      <c r="L7" s="16">
        <v>0.0</v>
      </c>
      <c r="M7" s="16">
        <v>0.008710083969170446</v>
      </c>
      <c r="N7" s="16">
        <v>0.002522539196920436</v>
      </c>
      <c r="O7" s="16">
        <v>0.0</v>
      </c>
      <c r="P7" s="16">
        <v>0.01280855510976941</v>
      </c>
      <c r="Q7" s="15">
        <v>0.0</v>
      </c>
      <c r="R7" s="15">
        <v>0.034125</v>
      </c>
      <c r="S7" s="15">
        <v>0.0025075</v>
      </c>
      <c r="T7" s="15">
        <v>0.0</v>
      </c>
      <c r="U7" s="15">
        <v>0.06826499999999999</v>
      </c>
      <c r="V7" s="15">
        <v>0.0</v>
      </c>
      <c r="W7" s="15">
        <v>0.026295</v>
      </c>
      <c r="X7" s="15">
        <v>0.0</v>
      </c>
      <c r="Y7" s="15">
        <v>0.0</v>
      </c>
      <c r="Z7" s="15">
        <v>0.06916</v>
      </c>
      <c r="AA7" s="15">
        <v>0.0</v>
      </c>
      <c r="AB7" s="16">
        <v>0.02044514159892271</v>
      </c>
      <c r="AC7" s="16">
        <v>0.00434311739997896</v>
      </c>
      <c r="AD7" s="16">
        <v>0.0</v>
      </c>
      <c r="AE7" s="16">
        <v>0.008635940307806672</v>
      </c>
      <c r="AG7" s="16">
        <v>0.69724</v>
      </c>
      <c r="AH7" s="16">
        <v>0.69724</v>
      </c>
      <c r="AI7" s="16">
        <v>0.04497</v>
      </c>
      <c r="AJ7" s="16">
        <v>0.51722</v>
      </c>
      <c r="AK7" s="16">
        <v>0.38245</v>
      </c>
      <c r="AL7" s="16">
        <v>0.20441</v>
      </c>
    </row>
    <row r="8">
      <c r="A8" s="14" t="s">
        <v>20</v>
      </c>
      <c r="B8" s="15">
        <v>0.00433</v>
      </c>
      <c r="C8" s="16">
        <v>0.06184949999999999</v>
      </c>
      <c r="D8" s="16">
        <v>0.00433</v>
      </c>
      <c r="E8" s="16">
        <v>0.00433</v>
      </c>
      <c r="F8" s="16">
        <v>0.0190145</v>
      </c>
      <c r="G8" s="16">
        <v>0.00433</v>
      </c>
      <c r="H8" s="16">
        <v>0.07435</v>
      </c>
      <c r="I8" s="16">
        <v>0.00433</v>
      </c>
      <c r="J8" s="16">
        <v>0.00433</v>
      </c>
      <c r="K8" s="16">
        <v>0.01438</v>
      </c>
      <c r="L8" s="16">
        <v>0.0</v>
      </c>
      <c r="M8" s="16">
        <v>0.02360188434744141</v>
      </c>
      <c r="N8" s="16">
        <v>0.0</v>
      </c>
      <c r="O8" s="16">
        <v>0.0</v>
      </c>
      <c r="P8" s="16">
        <v>0.01152232028499468</v>
      </c>
      <c r="Q8" s="15">
        <v>0.0</v>
      </c>
      <c r="R8" s="15">
        <v>0.012768</v>
      </c>
      <c r="S8" s="15">
        <v>0.0</v>
      </c>
      <c r="T8" s="15">
        <v>0.0</v>
      </c>
      <c r="U8" s="15">
        <v>0.024446</v>
      </c>
      <c r="V8" s="15">
        <v>0.0</v>
      </c>
      <c r="W8" s="15">
        <v>0.01378</v>
      </c>
      <c r="X8" s="15">
        <v>0.0</v>
      </c>
      <c r="Y8" s="15">
        <v>0.0</v>
      </c>
      <c r="Z8" s="15">
        <v>0.02367</v>
      </c>
      <c r="AA8" s="15">
        <v>0.0</v>
      </c>
      <c r="AB8" s="16">
        <v>0.001661528212219101</v>
      </c>
      <c r="AC8" s="16">
        <v>0.0</v>
      </c>
      <c r="AD8" s="16">
        <v>0.0</v>
      </c>
      <c r="AE8" s="16">
        <v>0.008420051306256988</v>
      </c>
      <c r="AG8" s="16">
        <v>0.85676</v>
      </c>
      <c r="AH8" s="16">
        <v>0.43439</v>
      </c>
      <c r="AI8" s="16">
        <v>0.0953</v>
      </c>
      <c r="AJ8" s="16">
        <v>0.61407</v>
      </c>
      <c r="AK8" s="16">
        <v>0.38296</v>
      </c>
      <c r="AL8" s="16">
        <v>0.17393</v>
      </c>
    </row>
    <row r="9">
      <c r="A9" s="14" t="s">
        <v>21</v>
      </c>
      <c r="B9" s="15">
        <v>0.004540000000000001</v>
      </c>
      <c r="C9" s="16">
        <v>0.047162</v>
      </c>
      <c r="D9" s="16">
        <v>0.008785000000000001</v>
      </c>
      <c r="E9" s="16">
        <v>0.004540000000000001</v>
      </c>
      <c r="F9" s="16">
        <v>0.0231065</v>
      </c>
      <c r="G9" s="16">
        <v>0.00454</v>
      </c>
      <c r="H9" s="16">
        <v>0.04894</v>
      </c>
      <c r="I9" s="16">
        <v>0.00583</v>
      </c>
      <c r="J9" s="16">
        <v>0.00454</v>
      </c>
      <c r="K9" s="16">
        <v>0.024485</v>
      </c>
      <c r="L9" s="16">
        <v>8.673617379884035E-19</v>
      </c>
      <c r="M9" s="16">
        <v>0.01583946387981613</v>
      </c>
      <c r="N9" s="16">
        <v>0.004062638920701667</v>
      </c>
      <c r="O9" s="16">
        <v>8.673617379884035E-19</v>
      </c>
      <c r="P9" s="16">
        <v>0.007040196925512808</v>
      </c>
      <c r="Q9" s="15">
        <v>0.007889499999999997</v>
      </c>
      <c r="R9" s="15">
        <v>0.03137349999999999</v>
      </c>
      <c r="S9" s="15">
        <v>0.007662</v>
      </c>
      <c r="T9" s="15">
        <v>0.007479999999999998</v>
      </c>
      <c r="U9" s="15">
        <v>0.054221</v>
      </c>
      <c r="V9" s="15">
        <v>0.00748</v>
      </c>
      <c r="W9" s="15">
        <v>0.035185</v>
      </c>
      <c r="X9" s="15">
        <v>0.00748</v>
      </c>
      <c r="Y9" s="15">
        <v>0.00748</v>
      </c>
      <c r="Z9" s="15">
        <v>0.0542</v>
      </c>
      <c r="AA9" s="15">
        <v>4.527192838835122E-4</v>
      </c>
      <c r="AB9" s="16">
        <v>0.009168135183885543</v>
      </c>
      <c r="AC9" s="16">
        <v>3.640000000000001E-4</v>
      </c>
      <c r="AD9" s="16">
        <v>1.734723475976807E-18</v>
      </c>
      <c r="AE9" s="16">
        <v>0.009018978822460999</v>
      </c>
      <c r="AG9" s="16">
        <v>0.74091</v>
      </c>
      <c r="AH9" s="16">
        <v>0.65669</v>
      </c>
      <c r="AI9" s="16">
        <v>0.12653</v>
      </c>
      <c r="AJ9" s="16">
        <v>0.60495</v>
      </c>
      <c r="AK9" s="16">
        <v>0.60495</v>
      </c>
      <c r="AL9" s="16">
        <v>0.15572</v>
      </c>
    </row>
    <row r="10">
      <c r="A10" s="14" t="s">
        <v>22</v>
      </c>
      <c r="B10" s="15">
        <v>0.0127115</v>
      </c>
      <c r="C10" s="16">
        <v>0.041982</v>
      </c>
      <c r="D10" s="16">
        <v>0.0215815</v>
      </c>
      <c r="E10" s="16">
        <v>0.0281495</v>
      </c>
      <c r="F10" s="16">
        <v>0.08317350000000001</v>
      </c>
      <c r="G10" s="16">
        <v>0.012545</v>
      </c>
      <c r="H10" s="16">
        <v>0.041615</v>
      </c>
      <c r="I10" s="16">
        <v>0.01938</v>
      </c>
      <c r="J10" s="16">
        <v>0.028295</v>
      </c>
      <c r="K10" s="16">
        <v>0.08143</v>
      </c>
      <c r="L10" s="16">
        <v>0.002001792384339595</v>
      </c>
      <c r="M10" s="16">
        <v>0.003546752881157637</v>
      </c>
      <c r="N10" s="16">
        <v>0.00552053102065372</v>
      </c>
      <c r="O10" s="16">
        <v>0.002986508789540055</v>
      </c>
      <c r="P10" s="16">
        <v>0.01678465140388682</v>
      </c>
      <c r="Q10" s="15">
        <v>0.0137235</v>
      </c>
      <c r="R10" s="15">
        <v>0.04277350000000001</v>
      </c>
      <c r="S10" s="15">
        <v>0.030071</v>
      </c>
      <c r="T10" s="15">
        <v>0.02994349999999999</v>
      </c>
      <c r="U10" s="15">
        <v>0.0985845</v>
      </c>
      <c r="V10" s="15">
        <v>0.013805</v>
      </c>
      <c r="W10" s="15">
        <v>0.042285</v>
      </c>
      <c r="X10" s="15">
        <v>0.02955</v>
      </c>
      <c r="Y10" s="15">
        <v>0.02982</v>
      </c>
      <c r="Z10" s="15">
        <v>0.096125</v>
      </c>
      <c r="AA10" s="15">
        <v>0.002688639572348812</v>
      </c>
      <c r="AB10" s="16">
        <v>0.003558412953832087</v>
      </c>
      <c r="AC10" s="16">
        <v>0.003678049619023647</v>
      </c>
      <c r="AD10" s="16">
        <v>0.002695196235898232</v>
      </c>
      <c r="AE10" s="16">
        <v>0.01351041541737337</v>
      </c>
      <c r="AG10" s="16">
        <v>0.49007</v>
      </c>
      <c r="AH10" s="16">
        <v>0.3465</v>
      </c>
      <c r="AI10" s="16">
        <v>0.10956</v>
      </c>
      <c r="AJ10" s="16">
        <v>0.59984</v>
      </c>
      <c r="AK10" s="16">
        <v>0.41369</v>
      </c>
      <c r="AL10" s="16">
        <v>0.09587</v>
      </c>
    </row>
    <row r="11">
      <c r="A11" s="14" t="s">
        <v>23</v>
      </c>
      <c r="B11" s="15">
        <v>0.0153775</v>
      </c>
      <c r="C11" s="16">
        <v>0.0470885</v>
      </c>
      <c r="D11" s="16">
        <v>0.026799</v>
      </c>
      <c r="E11" s="16">
        <v>0.028845</v>
      </c>
      <c r="F11" s="16">
        <v>0.080219</v>
      </c>
      <c r="G11" s="16">
        <v>0.015645</v>
      </c>
      <c r="H11" s="16">
        <v>0.04676</v>
      </c>
      <c r="I11" s="16">
        <v>0.025715</v>
      </c>
      <c r="J11" s="16">
        <v>0.028125</v>
      </c>
      <c r="K11" s="16">
        <v>0.08071</v>
      </c>
      <c r="L11" s="16">
        <v>0.00337651132827953</v>
      </c>
      <c r="M11" s="16">
        <v>0.00294254868268989</v>
      </c>
      <c r="N11" s="16">
        <v>0.003559735804803497</v>
      </c>
      <c r="O11" s="16">
        <v>0.002404199450960756</v>
      </c>
      <c r="P11" s="16">
        <v>0.01068799883046401</v>
      </c>
      <c r="Q11" s="15">
        <v>0.0522455</v>
      </c>
      <c r="R11" s="15">
        <v>0.044975</v>
      </c>
      <c r="S11" s="15">
        <v>0.028308</v>
      </c>
      <c r="T11" s="15">
        <v>0.031258</v>
      </c>
      <c r="U11" s="15">
        <v>0.1055225</v>
      </c>
      <c r="V11" s="15">
        <v>0.05204</v>
      </c>
      <c r="W11" s="15">
        <v>0.045425</v>
      </c>
      <c r="X11" s="15">
        <v>0.027555</v>
      </c>
      <c r="Y11" s="15">
        <v>0.031825</v>
      </c>
      <c r="Z11" s="15">
        <v>0.10324</v>
      </c>
      <c r="AA11" s="15">
        <v>0.004486301901343689</v>
      </c>
      <c r="AB11" s="16">
        <v>0.003747068854451436</v>
      </c>
      <c r="AC11" s="16">
        <v>0.004676264107169311</v>
      </c>
      <c r="AD11" s="16">
        <v>0.002725319430819074</v>
      </c>
      <c r="AE11" s="16">
        <v>0.0162214693770324</v>
      </c>
      <c r="AG11" s="16">
        <v>0.69279</v>
      </c>
      <c r="AH11" s="16">
        <v>0.57492</v>
      </c>
      <c r="AI11" s="16">
        <v>0.12459</v>
      </c>
      <c r="AJ11" s="16">
        <v>0.56541</v>
      </c>
      <c r="AK11" s="16">
        <v>0.56541</v>
      </c>
      <c r="AL11" s="16">
        <v>0.0899</v>
      </c>
    </row>
    <row r="12">
      <c r="A12" s="14" t="s">
        <v>24</v>
      </c>
      <c r="B12" s="15">
        <v>0.0242795</v>
      </c>
      <c r="C12" s="16">
        <v>0.04688850000000001</v>
      </c>
      <c r="D12" s="16">
        <v>0.034154</v>
      </c>
      <c r="E12" s="16">
        <v>0.03549200000000001</v>
      </c>
      <c r="F12" s="16">
        <v>0.09795050000000001</v>
      </c>
      <c r="G12" s="16">
        <v>0.02428</v>
      </c>
      <c r="H12" s="16">
        <v>0.04726</v>
      </c>
      <c r="I12" s="16">
        <v>0.03316</v>
      </c>
      <c r="J12" s="16">
        <v>0.03507</v>
      </c>
      <c r="K12" s="16">
        <v>0.092505</v>
      </c>
      <c r="L12" s="16">
        <v>0.002495320570588076</v>
      </c>
      <c r="M12" s="16">
        <v>0.002143500116631674</v>
      </c>
      <c r="N12" s="16">
        <v>0.002564255057516705</v>
      </c>
      <c r="O12" s="16">
        <v>0.00226051011941995</v>
      </c>
      <c r="P12" s="16">
        <v>0.02429362642237671</v>
      </c>
      <c r="Q12" s="15">
        <v>0.0401615</v>
      </c>
      <c r="R12" s="15">
        <v>0.03565450000000001</v>
      </c>
      <c r="S12" s="15">
        <v>0.0241185</v>
      </c>
      <c r="T12" s="15">
        <v>0.0240805</v>
      </c>
      <c r="U12" s="15">
        <v>0.0841045</v>
      </c>
      <c r="V12" s="15">
        <v>0.040135</v>
      </c>
      <c r="W12" s="15">
        <v>0.03541</v>
      </c>
      <c r="X12" s="15">
        <v>0.024325</v>
      </c>
      <c r="Y12" s="15">
        <v>0.023705</v>
      </c>
      <c r="Z12" s="15">
        <v>0.083625</v>
      </c>
      <c r="AA12" s="15">
        <v>0.001384840333756928</v>
      </c>
      <c r="AB12" s="16">
        <v>0.002355517936675499</v>
      </c>
      <c r="AC12" s="16">
        <v>0.004189269954299914</v>
      </c>
      <c r="AD12" s="16">
        <v>0.002710725871422634</v>
      </c>
      <c r="AE12" s="16">
        <v>0.01649189421352198</v>
      </c>
      <c r="AG12" s="16">
        <v>0.62458</v>
      </c>
      <c r="AH12" s="16">
        <v>0.50253</v>
      </c>
      <c r="AI12" s="16">
        <v>0.12786</v>
      </c>
      <c r="AJ12" s="16">
        <v>0.51471</v>
      </c>
      <c r="AK12" s="16">
        <v>0.33453</v>
      </c>
      <c r="AL12" s="16">
        <v>0.14323</v>
      </c>
    </row>
    <row r="13">
      <c r="A13" s="14" t="s">
        <v>25</v>
      </c>
      <c r="B13" s="15">
        <v>0.0270385</v>
      </c>
      <c r="C13" s="16">
        <v>0.0520555</v>
      </c>
      <c r="D13" s="16">
        <v>0.0387545</v>
      </c>
      <c r="E13" s="16">
        <v>0.03398399999999999</v>
      </c>
      <c r="F13" s="16">
        <v>0.0843845</v>
      </c>
      <c r="G13" s="16">
        <v>0.02662</v>
      </c>
      <c r="H13" s="16">
        <v>0.050805</v>
      </c>
      <c r="I13" s="16">
        <v>0.037855</v>
      </c>
      <c r="J13" s="16">
        <v>0.035125</v>
      </c>
      <c r="K13" s="16">
        <v>0.08226</v>
      </c>
      <c r="L13" s="16">
        <v>0.00529967949502609</v>
      </c>
      <c r="M13" s="16">
        <v>0.004253537909787568</v>
      </c>
      <c r="N13" s="16">
        <v>0.008038423026315546</v>
      </c>
      <c r="O13" s="16">
        <v>0.003268074968540349</v>
      </c>
      <c r="P13" s="16">
        <v>0.01648287459001008</v>
      </c>
      <c r="Q13" s="15">
        <v>0.07167849999999999</v>
      </c>
      <c r="R13" s="15">
        <v>0.0413245</v>
      </c>
      <c r="S13" s="15">
        <v>0.026981</v>
      </c>
      <c r="T13" s="15">
        <v>0.03277700000000001</v>
      </c>
      <c r="U13" s="15">
        <v>0.08865</v>
      </c>
      <c r="V13" s="15">
        <v>0.071655</v>
      </c>
      <c r="W13" s="15">
        <v>0.041285</v>
      </c>
      <c r="X13" s="15">
        <v>0.0269</v>
      </c>
      <c r="Y13" s="15">
        <v>0.03311500000000001</v>
      </c>
      <c r="Z13" s="15">
        <v>0.08258</v>
      </c>
      <c r="AA13" s="15">
        <v>8.749758568097766E-4</v>
      </c>
      <c r="AB13" s="16">
        <v>0.003169634797575267</v>
      </c>
      <c r="AC13" s="16">
        <v>0.002898059523198238</v>
      </c>
      <c r="AD13" s="16">
        <v>0.002611675898728631</v>
      </c>
      <c r="AE13" s="16">
        <v>0.02549169884491813</v>
      </c>
      <c r="AG13" s="16">
        <v>0.73099</v>
      </c>
      <c r="AH13" s="16">
        <v>0.66771</v>
      </c>
      <c r="AI13" s="16">
        <v>0.12076</v>
      </c>
      <c r="AJ13" s="16">
        <v>0.52538</v>
      </c>
      <c r="AK13" s="16">
        <v>0.40998</v>
      </c>
      <c r="AL13" s="16">
        <v>0.16471</v>
      </c>
    </row>
    <row r="14">
      <c r="A14" s="14" t="s">
        <v>26</v>
      </c>
      <c r="B14" s="15">
        <v>0.04540900000000001</v>
      </c>
      <c r="C14" s="16">
        <v>0.0476895</v>
      </c>
      <c r="D14" s="16">
        <v>0.0158075</v>
      </c>
      <c r="E14" s="16">
        <v>0.0288675</v>
      </c>
      <c r="F14" s="16">
        <v>0.09210800000000001</v>
      </c>
      <c r="G14" s="16">
        <v>0.04517</v>
      </c>
      <c r="H14" s="16">
        <v>0.04794</v>
      </c>
      <c r="I14" s="16">
        <v>0.01416</v>
      </c>
      <c r="J14" s="16">
        <v>0.029135</v>
      </c>
      <c r="K14" s="16">
        <v>0.090215</v>
      </c>
      <c r="L14" s="16">
        <v>0.001736182306095762</v>
      </c>
      <c r="M14" s="16">
        <v>0.004137637580794142</v>
      </c>
      <c r="N14" s="16">
        <v>0.005546931471543524</v>
      </c>
      <c r="O14" s="16">
        <v>0.004668600298804771</v>
      </c>
      <c r="P14" s="16">
        <v>0.01555771982007646</v>
      </c>
      <c r="Q14" s="15">
        <v>0.0260995</v>
      </c>
      <c r="R14" s="15">
        <v>0.06651150000000002</v>
      </c>
      <c r="S14" s="15">
        <v>0.03625</v>
      </c>
      <c r="T14" s="15">
        <v>0.04067749999999999</v>
      </c>
      <c r="U14" s="15">
        <v>0.102685</v>
      </c>
      <c r="V14" s="15">
        <v>0.025175</v>
      </c>
      <c r="W14" s="15">
        <v>0.066845</v>
      </c>
      <c r="X14" s="15">
        <v>0.03686</v>
      </c>
      <c r="Y14" s="15">
        <v>0.041695</v>
      </c>
      <c r="Z14" s="15">
        <v>0.100905</v>
      </c>
      <c r="AA14" s="15">
        <v>0.006452171320571084</v>
      </c>
      <c r="AB14" s="16">
        <v>0.005438884329529357</v>
      </c>
      <c r="AC14" s="16">
        <v>0.007608890195028444</v>
      </c>
      <c r="AD14" s="16">
        <v>0.006163579215845286</v>
      </c>
      <c r="AE14" s="16">
        <v>0.03371976312194378</v>
      </c>
      <c r="AG14" s="16">
        <v>0.51157</v>
      </c>
      <c r="AH14" s="16">
        <v>0.38847</v>
      </c>
      <c r="AI14" s="16">
        <v>0.12406</v>
      </c>
      <c r="AJ14" s="16">
        <v>0.74654</v>
      </c>
      <c r="AK14" s="16">
        <v>0.58436</v>
      </c>
      <c r="AL14" s="16">
        <v>0.16148</v>
      </c>
    </row>
    <row r="15">
      <c r="A15" s="14" t="s">
        <v>27</v>
      </c>
      <c r="B15" s="15">
        <v>0.013616</v>
      </c>
      <c r="C15" s="16">
        <v>0.0429335</v>
      </c>
      <c r="D15" s="16">
        <v>0.0218365</v>
      </c>
      <c r="E15" s="16">
        <v>0.025789</v>
      </c>
      <c r="F15" s="16">
        <v>0.08386099999999999</v>
      </c>
      <c r="G15" s="16">
        <v>0.013535</v>
      </c>
      <c r="H15" s="16">
        <v>0.04202</v>
      </c>
      <c r="I15" s="16">
        <v>0.021805</v>
      </c>
      <c r="J15" s="16">
        <v>0.025805</v>
      </c>
      <c r="K15" s="16">
        <v>0.07938</v>
      </c>
      <c r="L15" s="16">
        <v>0.002177492594706122</v>
      </c>
      <c r="M15" s="16">
        <v>0.004013328138839384</v>
      </c>
      <c r="N15" s="16">
        <v>0.004464766819219118</v>
      </c>
      <c r="O15" s="16">
        <v>0.003279393084093458</v>
      </c>
      <c r="P15" s="16">
        <v>0.0252119041129384</v>
      </c>
      <c r="Q15" s="15">
        <v>0.0653645</v>
      </c>
      <c r="R15" s="15">
        <v>0.038565</v>
      </c>
      <c r="S15" s="15">
        <v>0.020041</v>
      </c>
      <c r="T15" s="15">
        <v>0.025132</v>
      </c>
      <c r="U15" s="15">
        <v>0.0895765</v>
      </c>
      <c r="V15" s="15">
        <v>0.06554499999999999</v>
      </c>
      <c r="W15" s="15">
        <v>0.038605</v>
      </c>
      <c r="X15" s="15">
        <v>0.0202</v>
      </c>
      <c r="Y15" s="15">
        <v>0.02526</v>
      </c>
      <c r="Z15" s="15">
        <v>0.086645</v>
      </c>
      <c r="AA15" s="15">
        <v>0.001364651878685549</v>
      </c>
      <c r="AB15" s="16">
        <v>0.002985422080711537</v>
      </c>
      <c r="AC15" s="16">
        <v>0.003297753629366512</v>
      </c>
      <c r="AD15" s="16">
        <v>0.002611552411880719</v>
      </c>
      <c r="AE15" s="16">
        <v>0.01318291328766142</v>
      </c>
      <c r="AG15" s="16">
        <v>0.58191</v>
      </c>
      <c r="AH15" s="16">
        <v>0.44995</v>
      </c>
      <c r="AI15" s="16">
        <v>0.13498</v>
      </c>
      <c r="AJ15" s="16">
        <v>0.497</v>
      </c>
      <c r="AK15" s="16">
        <v>0.34591</v>
      </c>
      <c r="AL15" s="16">
        <v>0.07951</v>
      </c>
    </row>
    <row r="16">
      <c r="A16" s="14" t="s">
        <v>28</v>
      </c>
      <c r="B16" s="15">
        <v>0.0411605</v>
      </c>
      <c r="C16" s="16">
        <v>0.0725915</v>
      </c>
      <c r="D16" s="16">
        <v>0.04606850000000001</v>
      </c>
      <c r="E16" s="16">
        <v>0.051255</v>
      </c>
      <c r="F16" s="16">
        <v>0.105667</v>
      </c>
      <c r="G16" s="16">
        <v>0.039675</v>
      </c>
      <c r="H16" s="16">
        <v>0.07234</v>
      </c>
      <c r="I16" s="16">
        <v>0.04517</v>
      </c>
      <c r="J16" s="16">
        <v>0.05107</v>
      </c>
      <c r="K16" s="16">
        <v>0.103225</v>
      </c>
      <c r="L16" s="16">
        <v>0.005096299122893004</v>
      </c>
      <c r="M16" s="16">
        <v>0.003820530427833288</v>
      </c>
      <c r="N16" s="16">
        <v>0.004185592281864062</v>
      </c>
      <c r="O16" s="16">
        <v>0.003250556106268587</v>
      </c>
      <c r="P16" s="16">
        <v>0.01548304818180193</v>
      </c>
      <c r="Q16" s="15">
        <v>0.05537299999999999</v>
      </c>
      <c r="R16" s="15">
        <v>0.066586</v>
      </c>
      <c r="S16" s="15">
        <v>0.0416295</v>
      </c>
      <c r="T16" s="15">
        <v>0.0488355</v>
      </c>
      <c r="U16" s="15">
        <v>0.105676</v>
      </c>
      <c r="V16" s="15">
        <v>0.054135</v>
      </c>
      <c r="W16" s="15">
        <v>0.06658</v>
      </c>
      <c r="X16" s="15">
        <v>0.04114</v>
      </c>
      <c r="Y16" s="15">
        <v>0.04986500000000001</v>
      </c>
      <c r="Z16" s="15">
        <v>0.10168</v>
      </c>
      <c r="AA16" s="15">
        <v>0.003711881059516859</v>
      </c>
      <c r="AB16" s="16">
        <v>0.003333159762147623</v>
      </c>
      <c r="AC16" s="16">
        <v>0.005148398270336124</v>
      </c>
      <c r="AD16" s="16">
        <v>0.002911476386646473</v>
      </c>
      <c r="AE16" s="16">
        <v>0.02231351213950865</v>
      </c>
      <c r="AG16" s="16">
        <v>0.61715</v>
      </c>
      <c r="AH16" s="16">
        <v>0.54322</v>
      </c>
      <c r="AI16" s="16">
        <v>0.09966</v>
      </c>
      <c r="AJ16" s="16">
        <v>0.59552</v>
      </c>
      <c r="AK16" s="16">
        <v>0.49449</v>
      </c>
      <c r="AL16" s="16">
        <v>0.18419</v>
      </c>
    </row>
    <row r="17">
      <c r="A17" s="14" t="s">
        <v>29</v>
      </c>
      <c r="B17" s="15">
        <v>0.0530215</v>
      </c>
      <c r="C17" s="16">
        <v>0.07322999999999999</v>
      </c>
      <c r="D17" s="16">
        <v>0.041047</v>
      </c>
      <c r="E17" s="16">
        <v>0.05505800000000001</v>
      </c>
      <c r="F17" s="16">
        <v>0.09936799999999998</v>
      </c>
      <c r="G17" s="16">
        <v>0.051125</v>
      </c>
      <c r="H17" s="16">
        <v>0.07291</v>
      </c>
      <c r="I17" s="16">
        <v>0.03935</v>
      </c>
      <c r="J17" s="16">
        <v>0.05481</v>
      </c>
      <c r="K17" s="16">
        <v>0.09166</v>
      </c>
      <c r="L17" s="16">
        <v>0.009073901737951542</v>
      </c>
      <c r="M17" s="16">
        <v>0.004646157552214516</v>
      </c>
      <c r="N17" s="16">
        <v>0.007346373322939694</v>
      </c>
      <c r="O17" s="16">
        <v>0.004562040771409216</v>
      </c>
      <c r="P17" s="16">
        <v>0.03406234953728236</v>
      </c>
      <c r="Q17" s="15">
        <v>0.03324350000000001</v>
      </c>
      <c r="R17" s="15">
        <v>0.07417549999999999</v>
      </c>
      <c r="S17" s="15">
        <v>0.0496765</v>
      </c>
      <c r="T17" s="15">
        <v>0.05518849999999999</v>
      </c>
      <c r="U17" s="15">
        <v>0.132202</v>
      </c>
      <c r="V17" s="15">
        <v>0.03242</v>
      </c>
      <c r="W17" s="15">
        <v>0.074335</v>
      </c>
      <c r="X17" s="15">
        <v>0.04971</v>
      </c>
      <c r="Y17" s="15">
        <v>0.054295</v>
      </c>
      <c r="Z17" s="15">
        <v>0.12119</v>
      </c>
      <c r="AA17" s="15">
        <v>0.003646500068558892</v>
      </c>
      <c r="AB17" s="16">
        <v>0.005355769295815493</v>
      </c>
      <c r="AC17" s="16">
        <v>0.006092775455406181</v>
      </c>
      <c r="AD17" s="16">
        <v>0.003380836102209037</v>
      </c>
      <c r="AE17" s="16">
        <v>0.03351332549897131</v>
      </c>
      <c r="AG17" s="16">
        <v>0.60983</v>
      </c>
      <c r="AH17" s="16">
        <v>0.54954</v>
      </c>
      <c r="AI17" s="16">
        <v>0.09902</v>
      </c>
      <c r="AJ17" s="16">
        <v>0.55612</v>
      </c>
      <c r="AK17" s="16">
        <v>0.46846</v>
      </c>
      <c r="AL17" s="16">
        <v>0.10046</v>
      </c>
    </row>
    <row r="18">
      <c r="A18" s="14" t="s">
        <v>30</v>
      </c>
      <c r="B18" s="15">
        <v>0.0566065</v>
      </c>
      <c r="C18" s="16">
        <v>0.07624500000000001</v>
      </c>
      <c r="D18" s="16">
        <v>0.0454</v>
      </c>
      <c r="E18" s="16">
        <v>0.05792849999999999</v>
      </c>
      <c r="F18" s="16">
        <v>0.08746450000000001</v>
      </c>
      <c r="G18" s="16">
        <v>0.056495</v>
      </c>
      <c r="H18" s="16">
        <v>0.07711</v>
      </c>
      <c r="I18" s="16">
        <v>0.04564500000000001</v>
      </c>
      <c r="J18" s="16">
        <v>0.05781</v>
      </c>
      <c r="K18" s="16">
        <v>0.08194</v>
      </c>
      <c r="L18" s="16">
        <v>0.005593025366472067</v>
      </c>
      <c r="M18" s="16">
        <v>0.005138384473742696</v>
      </c>
      <c r="N18" s="16">
        <v>0.005577157878346282</v>
      </c>
      <c r="O18" s="16">
        <v>0.002889453711344066</v>
      </c>
      <c r="P18" s="16">
        <v>0.01814425431782745</v>
      </c>
      <c r="Q18" s="15">
        <v>0.06320300000000001</v>
      </c>
      <c r="R18" s="15">
        <v>0.06741399999999999</v>
      </c>
      <c r="S18" s="15">
        <v>0.03335300000000001</v>
      </c>
      <c r="T18" s="15">
        <v>0.04230750000000001</v>
      </c>
      <c r="U18" s="15">
        <v>0.098581</v>
      </c>
      <c r="V18" s="15">
        <v>0.063815</v>
      </c>
      <c r="W18" s="15">
        <v>0.066645</v>
      </c>
      <c r="X18" s="15">
        <v>0.032505</v>
      </c>
      <c r="Y18" s="15">
        <v>0.043085</v>
      </c>
      <c r="Z18" s="15">
        <v>0.10182</v>
      </c>
      <c r="AA18" s="15">
        <v>0.004591131777677482</v>
      </c>
      <c r="AB18" s="16">
        <v>0.003757618128548989</v>
      </c>
      <c r="AC18" s="16">
        <v>0.006220496845108114</v>
      </c>
      <c r="AD18" s="16">
        <v>0.003567089675071262</v>
      </c>
      <c r="AE18" s="16">
        <v>0.02264883261892321</v>
      </c>
      <c r="AG18" s="16">
        <v>0.65446</v>
      </c>
      <c r="AH18" s="16">
        <v>0.50665</v>
      </c>
      <c r="AI18" s="16">
        <v>0.10247</v>
      </c>
      <c r="AJ18" s="16">
        <v>0.53048</v>
      </c>
      <c r="AK18" s="16">
        <v>0.43409</v>
      </c>
      <c r="AL18" s="16">
        <v>0.09731</v>
      </c>
    </row>
    <row r="19">
      <c r="A19" s="14" t="s">
        <v>31</v>
      </c>
      <c r="B19" s="15">
        <v>0.04500850000000001</v>
      </c>
      <c r="C19" s="16">
        <v>0.0587905</v>
      </c>
      <c r="D19" s="16">
        <v>0.0348045</v>
      </c>
      <c r="E19" s="16">
        <v>0.0407705</v>
      </c>
      <c r="F19" s="16">
        <v>0.093471</v>
      </c>
      <c r="G19" s="16">
        <v>0.044465</v>
      </c>
      <c r="H19" s="16">
        <v>0.059405</v>
      </c>
      <c r="I19" s="16">
        <v>0.03415</v>
      </c>
      <c r="J19" s="16">
        <v>0.04087499999999999</v>
      </c>
      <c r="K19" s="16">
        <v>0.095485</v>
      </c>
      <c r="L19" s="16">
        <v>0.002754841692366369</v>
      </c>
      <c r="M19" s="16">
        <v>0.003835281573757004</v>
      </c>
      <c r="N19" s="16">
        <v>0.005317935196107601</v>
      </c>
      <c r="O19" s="16">
        <v>0.002489585256624083</v>
      </c>
      <c r="P19" s="16">
        <v>0.02428596753271321</v>
      </c>
      <c r="Q19" s="15">
        <v>0.0427925</v>
      </c>
      <c r="R19" s="15">
        <v>0.07057000000000001</v>
      </c>
      <c r="S19" s="15">
        <v>0.0412575</v>
      </c>
      <c r="T19" s="15">
        <v>0.050071</v>
      </c>
      <c r="U19" s="15">
        <v>0.1010075</v>
      </c>
      <c r="V19" s="15">
        <v>0.042225</v>
      </c>
      <c r="W19" s="15">
        <v>0.07184</v>
      </c>
      <c r="X19" s="15">
        <v>0.04193</v>
      </c>
      <c r="Y19" s="15">
        <v>0.04924000000000001</v>
      </c>
      <c r="Z19" s="15">
        <v>0.09704</v>
      </c>
      <c r="AA19" s="15">
        <v>0.006028213562076247</v>
      </c>
      <c r="AB19" s="16">
        <v>0.005355097571473373</v>
      </c>
      <c r="AC19" s="16">
        <v>0.007046126506812094</v>
      </c>
      <c r="AD19" s="16">
        <v>0.005208626402421276</v>
      </c>
      <c r="AE19" s="16">
        <v>0.0175354044364537</v>
      </c>
      <c r="AG19" s="16">
        <v>0.58179</v>
      </c>
      <c r="AH19" s="16">
        <v>0.36077</v>
      </c>
      <c r="AI19" s="16">
        <v>0.11893</v>
      </c>
      <c r="AJ19" s="16">
        <v>0.62199</v>
      </c>
      <c r="AK19" s="16">
        <v>0.5381</v>
      </c>
      <c r="AL19" s="16">
        <v>0.09966</v>
      </c>
    </row>
    <row r="20">
      <c r="A20" s="14" t="s">
        <v>32</v>
      </c>
      <c r="B20" s="15">
        <v>0.0345165</v>
      </c>
      <c r="C20" s="16">
        <v>0.06628150000000001</v>
      </c>
      <c r="D20" s="16">
        <v>0.0364155</v>
      </c>
      <c r="E20" s="16">
        <v>0.0438105</v>
      </c>
      <c r="F20" s="16">
        <v>0.0934575</v>
      </c>
      <c r="G20" s="16">
        <v>0.03482</v>
      </c>
      <c r="H20" s="16">
        <v>0.06681999999999999</v>
      </c>
      <c r="I20" s="16">
        <v>0.03681</v>
      </c>
      <c r="J20" s="16">
        <v>0.04314</v>
      </c>
      <c r="K20" s="16">
        <v>0.09007499999999999</v>
      </c>
      <c r="L20" s="16">
        <v>0.004136867504525616</v>
      </c>
      <c r="M20" s="16">
        <v>0.002992783445222858</v>
      </c>
      <c r="N20" s="16">
        <v>0.003611363281366194</v>
      </c>
      <c r="O20" s="16">
        <v>0.002805646939655808</v>
      </c>
      <c r="P20" s="16">
        <v>0.01898108476220471</v>
      </c>
      <c r="Q20" s="15">
        <v>0.0482025</v>
      </c>
      <c r="R20" s="15">
        <v>0.06059299999999999</v>
      </c>
      <c r="S20" s="15">
        <v>0.0322775</v>
      </c>
      <c r="T20" s="15">
        <v>0.041137</v>
      </c>
      <c r="U20" s="15">
        <v>0.09745250000000001</v>
      </c>
      <c r="V20" s="15">
        <v>0.047625</v>
      </c>
      <c r="W20" s="15">
        <v>0.061235</v>
      </c>
      <c r="X20" s="15">
        <v>0.032255</v>
      </c>
      <c r="Y20" s="15">
        <v>0.04103</v>
      </c>
      <c r="Z20" s="15">
        <v>0.0958</v>
      </c>
      <c r="AA20" s="15">
        <v>0.0037541042540132</v>
      </c>
      <c r="AB20" s="16">
        <v>0.005198902865028352</v>
      </c>
      <c r="AC20" s="16">
        <v>0.003408800192149725</v>
      </c>
      <c r="AD20" s="16">
        <v>0.003812587179331116</v>
      </c>
      <c r="AE20" s="16">
        <v>0.01536826303620549</v>
      </c>
      <c r="AG20" s="16">
        <v>0.57602</v>
      </c>
      <c r="AH20" s="16">
        <v>0.42206</v>
      </c>
      <c r="AI20" s="16">
        <v>0.10617</v>
      </c>
      <c r="AJ20" s="16">
        <v>0.61862</v>
      </c>
      <c r="AK20" s="16">
        <v>0.40126</v>
      </c>
      <c r="AL20" s="16">
        <v>0.14956</v>
      </c>
    </row>
    <row r="21">
      <c r="A21" s="14" t="s">
        <v>33</v>
      </c>
      <c r="B21" s="15">
        <v>0.03244</v>
      </c>
      <c r="C21" s="16">
        <v>0.0617875</v>
      </c>
      <c r="D21" s="16">
        <v>0.0392875</v>
      </c>
      <c r="E21" s="16">
        <v>0.0444535</v>
      </c>
      <c r="F21" s="16">
        <v>0.09040600000000001</v>
      </c>
      <c r="G21" s="16">
        <v>0.031805</v>
      </c>
      <c r="H21" s="16">
        <v>0.06161999999999999</v>
      </c>
      <c r="I21" s="16">
        <v>0.03798</v>
      </c>
      <c r="J21" s="16">
        <v>0.043955</v>
      </c>
      <c r="K21" s="16">
        <v>0.08827</v>
      </c>
      <c r="L21" s="16">
        <v>0.003039546018733718</v>
      </c>
      <c r="M21" s="16">
        <v>0.003841185852051421</v>
      </c>
      <c r="N21" s="16">
        <v>0.005649352949674856</v>
      </c>
      <c r="O21" s="16">
        <v>0.002336756887226397</v>
      </c>
      <c r="P21" s="16">
        <v>0.01824331148667917</v>
      </c>
      <c r="Q21" s="15">
        <v>0.0465095</v>
      </c>
      <c r="R21" s="15">
        <v>0.0817585</v>
      </c>
      <c r="S21" s="15">
        <v>0.0521655</v>
      </c>
      <c r="T21" s="15">
        <v>0.05698000000000001</v>
      </c>
      <c r="U21" s="15">
        <v>0.1152225</v>
      </c>
      <c r="V21" s="15">
        <v>0.04424</v>
      </c>
      <c r="W21" s="15">
        <v>0.082155</v>
      </c>
      <c r="X21" s="15">
        <v>0.052795</v>
      </c>
      <c r="Y21" s="15">
        <v>0.057875</v>
      </c>
      <c r="Z21" s="15">
        <v>0.10506</v>
      </c>
      <c r="AA21" s="15">
        <v>0.006425970335287894</v>
      </c>
      <c r="AB21" s="16">
        <v>0.006365337599059459</v>
      </c>
      <c r="AC21" s="16">
        <v>0.005693394835245488</v>
      </c>
      <c r="AD21" s="16">
        <v>0.004087671708931626</v>
      </c>
      <c r="AE21" s="16">
        <v>0.03192325451375533</v>
      </c>
      <c r="AG21" s="16">
        <v>0.62316</v>
      </c>
      <c r="AH21" s="16">
        <v>0.49899</v>
      </c>
      <c r="AI21" s="16">
        <v>0.13556</v>
      </c>
      <c r="AJ21" s="16">
        <v>0.5888</v>
      </c>
      <c r="AK21" s="16">
        <v>0.47081</v>
      </c>
      <c r="AL21" s="16">
        <v>0.14466</v>
      </c>
    </row>
    <row r="22">
      <c r="A22" s="14" t="s">
        <v>34</v>
      </c>
      <c r="B22" s="15">
        <v>0.0512505</v>
      </c>
      <c r="C22" s="16">
        <v>0.09440549999999999</v>
      </c>
      <c r="D22" s="16">
        <v>0.042795</v>
      </c>
      <c r="E22" s="16">
        <v>0.060293</v>
      </c>
      <c r="F22" s="16">
        <v>0.099973</v>
      </c>
      <c r="G22" s="16">
        <v>0.05428</v>
      </c>
      <c r="H22" s="16">
        <v>0.09473999999999999</v>
      </c>
      <c r="I22" s="16">
        <v>0.043175</v>
      </c>
      <c r="J22" s="16">
        <v>0.06063</v>
      </c>
      <c r="K22" s="16">
        <v>0.09799</v>
      </c>
      <c r="L22" s="16">
        <v>0.007799386177770659</v>
      </c>
      <c r="M22" s="16">
        <v>0.005088965980432568</v>
      </c>
      <c r="N22" s="16">
        <v>0.005393492838597267</v>
      </c>
      <c r="O22" s="16">
        <v>0.003648532718778879</v>
      </c>
      <c r="P22" s="16">
        <v>0.01102650039677141</v>
      </c>
      <c r="Q22" s="15">
        <v>0.0457685</v>
      </c>
      <c r="R22" s="15">
        <v>0.069411</v>
      </c>
      <c r="S22" s="15">
        <v>0.0328915</v>
      </c>
      <c r="T22" s="15">
        <v>0.046836</v>
      </c>
      <c r="U22" s="15">
        <v>0.0940195</v>
      </c>
      <c r="V22" s="15">
        <v>0.04693</v>
      </c>
      <c r="W22" s="15">
        <v>0.06928500000000001</v>
      </c>
      <c r="X22" s="15">
        <v>0.03327</v>
      </c>
      <c r="Y22" s="15">
        <v>0.0475</v>
      </c>
      <c r="Z22" s="15">
        <v>0.09307499999999999</v>
      </c>
      <c r="AA22" s="15">
        <v>0.003401598558031209</v>
      </c>
      <c r="AB22" s="16">
        <v>0.002395647929058024</v>
      </c>
      <c r="AC22" s="16">
        <v>0.004201024012071342</v>
      </c>
      <c r="AD22" s="16">
        <v>0.002645134023069531</v>
      </c>
      <c r="AE22" s="16">
        <v>0.009093058602582521</v>
      </c>
      <c r="AG22" s="16">
        <v>0.71942</v>
      </c>
      <c r="AH22" s="16">
        <v>0.36193</v>
      </c>
      <c r="AI22" s="16">
        <v>0.05907</v>
      </c>
      <c r="AJ22" s="16">
        <v>0.6902</v>
      </c>
      <c r="AK22" s="16">
        <v>0.47688</v>
      </c>
      <c r="AL22" s="16">
        <v>0.06507</v>
      </c>
    </row>
    <row r="23">
      <c r="A23" s="14" t="s">
        <v>35</v>
      </c>
      <c r="B23" s="15">
        <v>0.06386</v>
      </c>
      <c r="C23" s="16">
        <v>0.09070450000000001</v>
      </c>
      <c r="D23" s="16">
        <v>0.046028</v>
      </c>
      <c r="E23" s="16">
        <v>0.06016750000000001</v>
      </c>
      <c r="F23" s="16">
        <v>0.1118625</v>
      </c>
      <c r="G23" s="16">
        <v>0.064745</v>
      </c>
      <c r="H23" s="16">
        <v>0.09112</v>
      </c>
      <c r="I23" s="16">
        <v>0.04699</v>
      </c>
      <c r="J23" s="16">
        <v>0.059985</v>
      </c>
      <c r="K23" s="16">
        <v>0.11245</v>
      </c>
      <c r="L23" s="16">
        <v>0.005859431713058868</v>
      </c>
      <c r="M23" s="16">
        <v>0.005122857088578598</v>
      </c>
      <c r="N23" s="16">
        <v>0.005101597396894427</v>
      </c>
      <c r="O23" s="16">
        <v>0.003464476692084969</v>
      </c>
      <c r="P23" s="16">
        <v>0.01759539794235981</v>
      </c>
      <c r="Q23" s="15">
        <v>0.0609195</v>
      </c>
      <c r="R23" s="15">
        <v>0.08231200000000001</v>
      </c>
      <c r="S23" s="15">
        <v>0.0399075</v>
      </c>
      <c r="T23" s="15">
        <v>0.05420749999999998</v>
      </c>
      <c r="U23" s="15">
        <v>0.100559</v>
      </c>
      <c r="V23" s="15">
        <v>0.062375</v>
      </c>
      <c r="W23" s="15">
        <v>0.08191000000000001</v>
      </c>
      <c r="X23" s="15">
        <v>0.04030499999999999</v>
      </c>
      <c r="Y23" s="15">
        <v>0.05424</v>
      </c>
      <c r="Z23" s="15">
        <v>0.09622</v>
      </c>
      <c r="AA23" s="15">
        <v>0.008344467912934894</v>
      </c>
      <c r="AB23" s="16">
        <v>0.003275236785333237</v>
      </c>
      <c r="AC23" s="16">
        <v>0.005801753937388245</v>
      </c>
      <c r="AD23" s="16">
        <v>0.002523455715878525</v>
      </c>
      <c r="AE23" s="16">
        <v>0.01390043017319968</v>
      </c>
      <c r="AG23" s="16">
        <v>0.73391</v>
      </c>
      <c r="AH23" s="16">
        <v>0.5186</v>
      </c>
      <c r="AI23" s="16">
        <v>0.06325</v>
      </c>
      <c r="AJ23" s="16">
        <v>0.74731</v>
      </c>
      <c r="AK23" s="16">
        <v>0.5387</v>
      </c>
      <c r="AL23" s="16">
        <v>0.07633</v>
      </c>
    </row>
    <row r="24">
      <c r="A24" s="14" t="s">
        <v>36</v>
      </c>
      <c r="B24" s="15">
        <v>0.08006150000000001</v>
      </c>
      <c r="C24" s="16">
        <v>0.09977099999999998</v>
      </c>
      <c r="D24" s="16">
        <v>0.04570199999999999</v>
      </c>
      <c r="E24" s="16">
        <v>0.06721200000000001</v>
      </c>
      <c r="F24" s="16">
        <v>0.103636</v>
      </c>
      <c r="G24" s="16">
        <v>0.080485</v>
      </c>
      <c r="H24" s="16">
        <v>0.09934</v>
      </c>
      <c r="I24" s="16">
        <v>0.04527</v>
      </c>
      <c r="J24" s="16">
        <v>0.06745000000000001</v>
      </c>
      <c r="K24" s="16">
        <v>0.108595</v>
      </c>
      <c r="L24" s="16">
        <v>0.006520619046532315</v>
      </c>
      <c r="M24" s="16">
        <v>0.004924039906418304</v>
      </c>
      <c r="N24" s="16">
        <v>0.00599426859591727</v>
      </c>
      <c r="O24" s="16">
        <v>0.003955357885198254</v>
      </c>
      <c r="P24" s="16">
        <v>0.01254993561736474</v>
      </c>
      <c r="Q24" s="15">
        <v>0.05360500000000001</v>
      </c>
      <c r="R24" s="15">
        <v>0.07443899999999999</v>
      </c>
      <c r="S24" s="15">
        <v>0.0376375</v>
      </c>
      <c r="T24" s="15">
        <v>0.04951999999999999</v>
      </c>
      <c r="U24" s="15">
        <v>0.093065</v>
      </c>
      <c r="V24" s="15">
        <v>0.05419</v>
      </c>
      <c r="W24" s="15">
        <v>0.075045</v>
      </c>
      <c r="X24" s="15">
        <v>0.03811</v>
      </c>
      <c r="Y24" s="15">
        <v>0.04964</v>
      </c>
      <c r="Z24" s="15">
        <v>0.096375</v>
      </c>
      <c r="AA24" s="15">
        <v>0.004570614291317963</v>
      </c>
      <c r="AB24" s="16">
        <v>0.003273255107687146</v>
      </c>
      <c r="AC24" s="16">
        <v>0.003882972926766293</v>
      </c>
      <c r="AD24" s="16">
        <v>0.002098263567810298</v>
      </c>
      <c r="AE24" s="16">
        <v>0.01273769896802402</v>
      </c>
      <c r="AG24" s="16">
        <v>0.80259</v>
      </c>
      <c r="AH24" s="16">
        <v>0.51157</v>
      </c>
      <c r="AI24" s="16">
        <v>0.0572</v>
      </c>
      <c r="AJ24" s="16">
        <v>0.69436</v>
      </c>
      <c r="AK24" s="16">
        <v>0.43813</v>
      </c>
      <c r="AL24" s="16">
        <v>0.06289</v>
      </c>
    </row>
    <row r="25">
      <c r="A25" s="14" t="s">
        <v>37</v>
      </c>
      <c r="B25" s="15">
        <v>0.04805</v>
      </c>
      <c r="C25" s="16">
        <v>0.09124199999999999</v>
      </c>
      <c r="D25" s="16">
        <v>0.0421595</v>
      </c>
      <c r="E25" s="16">
        <v>0.0594755</v>
      </c>
      <c r="F25" s="16">
        <v>0.1028025</v>
      </c>
      <c r="G25" s="16">
        <v>0.04772</v>
      </c>
      <c r="H25" s="16">
        <v>0.092035</v>
      </c>
      <c r="I25" s="16">
        <v>0.041555</v>
      </c>
      <c r="J25" s="16">
        <v>0.059525</v>
      </c>
      <c r="K25" s="16">
        <v>0.09972</v>
      </c>
      <c r="L25" s="16">
        <v>0.005623526473664012</v>
      </c>
      <c r="M25" s="16">
        <v>0.004822545593356272</v>
      </c>
      <c r="N25" s="16">
        <v>0.005355595648478328</v>
      </c>
      <c r="O25" s="16">
        <v>0.003804848847194853</v>
      </c>
      <c r="P25" s="16">
        <v>0.01863095136459757</v>
      </c>
      <c r="Q25" s="15">
        <v>0.0614185</v>
      </c>
      <c r="R25" s="15">
        <v>0.0770405</v>
      </c>
      <c r="S25" s="15">
        <v>0.0381055</v>
      </c>
      <c r="T25" s="15">
        <v>0.0486535</v>
      </c>
      <c r="U25" s="15">
        <v>0.09719399999999999</v>
      </c>
      <c r="V25" s="15">
        <v>0.06064</v>
      </c>
      <c r="W25" s="15">
        <v>0.07753</v>
      </c>
      <c r="X25" s="15">
        <v>0.03745</v>
      </c>
      <c r="Y25" s="15">
        <v>0.0488</v>
      </c>
      <c r="Z25" s="15">
        <v>0.100535</v>
      </c>
      <c r="AA25" s="15">
        <v>0.005000354262449811</v>
      </c>
      <c r="AB25" s="16">
        <v>0.003685398859011058</v>
      </c>
      <c r="AC25" s="16">
        <v>0.004033339156331885</v>
      </c>
      <c r="AD25" s="16">
        <v>0.002878017155959984</v>
      </c>
      <c r="AE25" s="16">
        <v>0.01659393395189941</v>
      </c>
      <c r="AG25" s="16">
        <v>0.75804</v>
      </c>
      <c r="AH25" s="16">
        <v>0.43967</v>
      </c>
      <c r="AI25" s="16">
        <v>0.07956</v>
      </c>
      <c r="AJ25" s="16">
        <v>0.71386</v>
      </c>
      <c r="AK25" s="16">
        <v>0.37322</v>
      </c>
      <c r="AL25" s="16">
        <v>0.08784</v>
      </c>
    </row>
    <row r="26">
      <c r="A26" s="14" t="s">
        <v>38</v>
      </c>
      <c r="B26" s="15">
        <v>0.0452385</v>
      </c>
      <c r="C26" s="16">
        <v>0.07938599999999998</v>
      </c>
      <c r="D26" s="16">
        <v>0.035326</v>
      </c>
      <c r="E26" s="16">
        <v>0.0511965</v>
      </c>
      <c r="F26" s="16">
        <v>0.09005599999999998</v>
      </c>
      <c r="G26" s="16">
        <v>0.04355000000000001</v>
      </c>
      <c r="H26" s="16">
        <v>0.07951</v>
      </c>
      <c r="I26" s="16">
        <v>0.03452</v>
      </c>
      <c r="J26" s="16">
        <v>0.05112</v>
      </c>
      <c r="K26" s="16">
        <v>0.08735499999999999</v>
      </c>
      <c r="L26" s="16">
        <v>0.004299040910482244</v>
      </c>
      <c r="M26" s="16">
        <v>0.002791321192553806</v>
      </c>
      <c r="N26" s="16">
        <v>0.003296893082888798</v>
      </c>
      <c r="O26" s="16">
        <v>0.002445684515631566</v>
      </c>
      <c r="P26" s="16">
        <v>0.01193978073500515</v>
      </c>
      <c r="Q26" s="15">
        <v>0.06341699999999999</v>
      </c>
      <c r="R26" s="15">
        <v>0.086761</v>
      </c>
      <c r="S26" s="15">
        <v>0.040537</v>
      </c>
      <c r="T26" s="15">
        <v>0.05583899999999999</v>
      </c>
      <c r="U26" s="15">
        <v>0.1039415</v>
      </c>
      <c r="V26" s="15">
        <v>0.063275</v>
      </c>
      <c r="W26" s="15">
        <v>0.08646</v>
      </c>
      <c r="X26" s="15">
        <v>0.040215</v>
      </c>
      <c r="Y26" s="15">
        <v>0.05654</v>
      </c>
      <c r="Z26" s="15">
        <v>0.105035</v>
      </c>
      <c r="AA26" s="15">
        <v>0.005384883564200808</v>
      </c>
      <c r="AB26" s="16">
        <v>0.00481453933414195</v>
      </c>
      <c r="AC26" s="16">
        <v>0.005451026600558834</v>
      </c>
      <c r="AD26" s="16">
        <v>0.002738866371329569</v>
      </c>
      <c r="AE26" s="16">
        <v>0.01630314609975633</v>
      </c>
      <c r="AG26" s="16">
        <v>0.77536</v>
      </c>
      <c r="AH26" s="16">
        <v>0.42903</v>
      </c>
      <c r="AI26" s="16">
        <v>0.06848</v>
      </c>
      <c r="AJ26" s="16">
        <v>0.68823</v>
      </c>
      <c r="AK26" s="16">
        <v>0.40221</v>
      </c>
      <c r="AL26" s="16">
        <v>0.07203</v>
      </c>
    </row>
    <row r="27">
      <c r="A27" s="14" t="s">
        <v>39</v>
      </c>
      <c r="B27" s="15">
        <v>0.0478645</v>
      </c>
      <c r="C27" s="16">
        <v>0.08860750000000002</v>
      </c>
      <c r="D27" s="16">
        <v>0.04278899999999999</v>
      </c>
      <c r="E27" s="16">
        <v>0.0585855</v>
      </c>
      <c r="F27" s="16">
        <v>0.1018745</v>
      </c>
      <c r="G27" s="16">
        <v>0.04737</v>
      </c>
      <c r="H27" s="16">
        <v>0.088765</v>
      </c>
      <c r="I27" s="16">
        <v>0.042745</v>
      </c>
      <c r="J27" s="16">
        <v>0.05838</v>
      </c>
      <c r="K27" s="16">
        <v>0.101205</v>
      </c>
      <c r="L27" s="16">
        <v>0.006001852609819737</v>
      </c>
      <c r="M27" s="16">
        <v>0.003738226685207842</v>
      </c>
      <c r="N27" s="16">
        <v>0.00553055593950554</v>
      </c>
      <c r="O27" s="16">
        <v>0.002964273055911011</v>
      </c>
      <c r="P27" s="16">
        <v>0.01227588468298721</v>
      </c>
      <c r="Q27" s="15">
        <v>0.06800400000000001</v>
      </c>
      <c r="R27" s="15">
        <v>0.084348</v>
      </c>
      <c r="S27" s="15">
        <v>0.0394445</v>
      </c>
      <c r="T27" s="15">
        <v>0.055907</v>
      </c>
      <c r="U27" s="15">
        <v>0.1010185</v>
      </c>
      <c r="V27" s="15">
        <v>0.06717999999999999</v>
      </c>
      <c r="W27" s="15">
        <v>0.08385999999999999</v>
      </c>
      <c r="X27" s="15">
        <v>0.03894</v>
      </c>
      <c r="Y27" s="15">
        <v>0.05542</v>
      </c>
      <c r="Z27" s="15">
        <v>0.101455</v>
      </c>
      <c r="AA27" s="15">
        <v>0.004705081720863094</v>
      </c>
      <c r="AB27" s="16">
        <v>0.003350312821215356</v>
      </c>
      <c r="AC27" s="16">
        <v>0.00400117542104817</v>
      </c>
      <c r="AD27" s="16">
        <v>0.0031889905926484</v>
      </c>
      <c r="AE27" s="16">
        <v>0.016256768213578</v>
      </c>
      <c r="AG27" s="16">
        <v>0.73638</v>
      </c>
      <c r="AH27" s="16">
        <v>0.5131</v>
      </c>
      <c r="AI27" s="16">
        <v>0.0991</v>
      </c>
      <c r="AJ27" s="16">
        <v>0.72236</v>
      </c>
      <c r="AK27" s="16">
        <v>0.48979</v>
      </c>
      <c r="AL27" s="16">
        <v>0.06371</v>
      </c>
    </row>
    <row r="28">
      <c r="A28" s="14" t="s">
        <v>40</v>
      </c>
      <c r="B28" s="15">
        <v>0.047263</v>
      </c>
      <c r="C28" s="16">
        <v>0.07116750000000001</v>
      </c>
      <c r="D28" s="16">
        <v>0.039257</v>
      </c>
      <c r="E28" s="16">
        <v>0.05223549999999999</v>
      </c>
      <c r="F28" s="16">
        <v>0.0894495</v>
      </c>
      <c r="G28" s="16">
        <v>0.047065</v>
      </c>
      <c r="H28" s="16">
        <v>0.071185</v>
      </c>
      <c r="I28" s="16">
        <v>0.038555</v>
      </c>
      <c r="J28" s="16">
        <v>0.052295</v>
      </c>
      <c r="K28" s="16">
        <v>0.089785</v>
      </c>
      <c r="L28" s="16">
        <v>0.002530195842222496</v>
      </c>
      <c r="M28" s="16">
        <v>0.002088886964390367</v>
      </c>
      <c r="N28" s="16">
        <v>0.003872024147651974</v>
      </c>
      <c r="O28" s="16">
        <v>0.002072202873755367</v>
      </c>
      <c r="P28" s="16">
        <v>0.006837911578106287</v>
      </c>
      <c r="Q28" s="16">
        <v>0.0515355</v>
      </c>
      <c r="R28" s="16">
        <v>0.07853750000000001</v>
      </c>
      <c r="S28" s="16">
        <v>0.0427585</v>
      </c>
      <c r="T28" s="16">
        <v>0.05543099999999999</v>
      </c>
      <c r="U28" s="16">
        <v>0.0931225</v>
      </c>
      <c r="V28" s="16">
        <v>0.05168499999999999</v>
      </c>
      <c r="W28" s="16">
        <v>0.078555</v>
      </c>
      <c r="X28" s="16">
        <v>0.04203</v>
      </c>
      <c r="Y28" s="16">
        <v>0.055225</v>
      </c>
      <c r="Z28" s="16">
        <v>0.0942</v>
      </c>
      <c r="AA28" s="15">
        <v>0.003508343590642171</v>
      </c>
      <c r="AB28" s="16">
        <v>0.00193264811851511</v>
      </c>
      <c r="AC28" s="16">
        <v>0.00419898115618539</v>
      </c>
      <c r="AD28" s="16">
        <v>0.002561520837315207</v>
      </c>
      <c r="AE28" s="16">
        <v>0.006920148029486075</v>
      </c>
      <c r="AG28" s="16">
        <v>0.90125</v>
      </c>
      <c r="AH28" s="16">
        <v>0.4703</v>
      </c>
      <c r="AI28" s="16">
        <v>0.024</v>
      </c>
      <c r="AJ28" s="16">
        <v>0.95558</v>
      </c>
      <c r="AK28" s="16">
        <v>0.5386</v>
      </c>
      <c r="AL28" s="16">
        <v>0.02517</v>
      </c>
    </row>
    <row r="29">
      <c r="A29" s="14" t="s">
        <v>41</v>
      </c>
      <c r="B29" s="15">
        <v>0.038185</v>
      </c>
      <c r="C29" s="16">
        <v>0.068639</v>
      </c>
      <c r="D29" s="16">
        <v>0.036203</v>
      </c>
      <c r="E29" s="16">
        <v>0.0477195</v>
      </c>
      <c r="F29" s="16">
        <v>0.0885055</v>
      </c>
      <c r="G29" s="16">
        <v>0.03883499999999999</v>
      </c>
      <c r="H29" s="16">
        <v>0.06884499999999999</v>
      </c>
      <c r="I29" s="16">
        <v>0.03561</v>
      </c>
      <c r="J29" s="16">
        <v>0.047795</v>
      </c>
      <c r="K29" s="16">
        <v>0.088905</v>
      </c>
      <c r="L29" s="16">
        <v>0.002472758581018373</v>
      </c>
      <c r="M29" s="16">
        <v>0.001782722356397653</v>
      </c>
      <c r="N29" s="16">
        <v>0.004540777576583112</v>
      </c>
      <c r="O29" s="16">
        <v>0.003043876599009887</v>
      </c>
      <c r="P29" s="16">
        <v>0.00843591161345352</v>
      </c>
      <c r="Q29" s="16">
        <v>0.0498335</v>
      </c>
      <c r="R29" s="16">
        <v>0.07028699999999999</v>
      </c>
      <c r="S29" s="16">
        <v>0.04009</v>
      </c>
      <c r="T29" s="16">
        <v>0.052097</v>
      </c>
      <c r="U29" s="16">
        <v>0.08573449999999999</v>
      </c>
      <c r="V29" s="16">
        <v>0.04951</v>
      </c>
      <c r="W29" s="16">
        <v>0.07049</v>
      </c>
      <c r="X29" s="16">
        <v>0.040355</v>
      </c>
      <c r="Y29" s="16">
        <v>0.05227</v>
      </c>
      <c r="Z29" s="16">
        <v>0.08421000000000001</v>
      </c>
      <c r="AA29" s="15">
        <v>0.002507904055182335</v>
      </c>
      <c r="AB29" s="16">
        <v>0.001260230534465819</v>
      </c>
      <c r="AC29" s="16">
        <v>0.002856599376881539</v>
      </c>
      <c r="AD29" s="16">
        <v>0.002579649394782166</v>
      </c>
      <c r="AE29" s="16">
        <v>0.005898612103707109</v>
      </c>
      <c r="AG29" s="16">
        <v>0.92857</v>
      </c>
      <c r="AH29" s="16">
        <v>0.45249</v>
      </c>
      <c r="AI29" s="16">
        <v>0.01939</v>
      </c>
      <c r="AJ29" s="16">
        <v>0.94018</v>
      </c>
      <c r="AK29" s="16">
        <v>0.50085</v>
      </c>
      <c r="AL29" s="16">
        <v>0.03125</v>
      </c>
    </row>
    <row r="30">
      <c r="A30" s="14" t="s">
        <v>42</v>
      </c>
      <c r="B30" s="15">
        <v>0.04783749999999999</v>
      </c>
      <c r="C30" s="16">
        <v>0.08420399999999999</v>
      </c>
      <c r="D30" s="16">
        <v>0.044588</v>
      </c>
      <c r="E30" s="16">
        <v>0.05926550000000001</v>
      </c>
      <c r="F30" s="16">
        <v>0.096951</v>
      </c>
      <c r="G30" s="16">
        <v>0.04868</v>
      </c>
      <c r="H30" s="16">
        <v>0.08388499999999999</v>
      </c>
      <c r="I30" s="16">
        <v>0.044595</v>
      </c>
      <c r="J30" s="16">
        <v>0.05943</v>
      </c>
      <c r="K30" s="16">
        <v>0.09572</v>
      </c>
      <c r="L30" s="16">
        <v>0.003904074634276348</v>
      </c>
      <c r="M30" s="16">
        <v>0.001527901829307106</v>
      </c>
      <c r="N30" s="16">
        <v>0.004105886749534137</v>
      </c>
      <c r="O30" s="16">
        <v>0.003799894044575453</v>
      </c>
      <c r="P30" s="16">
        <v>0.00778558533444981</v>
      </c>
      <c r="Q30" s="16">
        <v>0.05422449999999999</v>
      </c>
      <c r="R30" s="16">
        <v>0.0860945</v>
      </c>
      <c r="S30" s="16">
        <v>0.0448845</v>
      </c>
      <c r="T30" s="16">
        <v>0.06182800000000001</v>
      </c>
      <c r="U30" s="16">
        <v>0.102469</v>
      </c>
      <c r="V30" s="16">
        <v>0.055095</v>
      </c>
      <c r="W30" s="16">
        <v>0.08593500000000001</v>
      </c>
      <c r="X30" s="16">
        <v>0.043315</v>
      </c>
      <c r="Y30" s="16">
        <v>0.062155</v>
      </c>
      <c r="Z30" s="16">
        <v>0.10294</v>
      </c>
      <c r="AA30" s="15">
        <v>0.003732266704028533</v>
      </c>
      <c r="AB30" s="16">
        <v>0.002130341463240107</v>
      </c>
      <c r="AC30" s="16">
        <v>0.005690631313835048</v>
      </c>
      <c r="AD30" s="16">
        <v>0.003265134912985985</v>
      </c>
      <c r="AE30" s="16">
        <v>0.005289522568247535</v>
      </c>
      <c r="AG30" s="16">
        <v>0.89937</v>
      </c>
      <c r="AH30" s="16">
        <v>0.42235</v>
      </c>
      <c r="AI30" s="16">
        <v>0.02167</v>
      </c>
      <c r="AJ30" s="16">
        <v>0.88962</v>
      </c>
      <c r="AK30" s="16">
        <v>0.42085</v>
      </c>
      <c r="AL30" s="16">
        <v>0.02408</v>
      </c>
    </row>
    <row r="31">
      <c r="A31" s="14" t="s">
        <v>43</v>
      </c>
      <c r="B31" s="15">
        <v>0.063793</v>
      </c>
      <c r="C31" s="16">
        <v>0.069673</v>
      </c>
      <c r="D31" s="16">
        <v>0.0338265</v>
      </c>
      <c r="E31" s="16">
        <v>0.0491925</v>
      </c>
      <c r="F31" s="16">
        <v>0.0840465</v>
      </c>
      <c r="G31" s="16">
        <v>0.06382499999999999</v>
      </c>
      <c r="H31" s="16">
        <v>0.06949</v>
      </c>
      <c r="I31" s="16">
        <v>0.034625</v>
      </c>
      <c r="J31" s="16">
        <v>0.04914499999999999</v>
      </c>
      <c r="K31" s="16">
        <v>0.08404</v>
      </c>
      <c r="L31" s="16">
        <v>0.003378408057058828</v>
      </c>
      <c r="M31" s="16">
        <v>0.002615603372073067</v>
      </c>
      <c r="N31" s="16">
        <v>0.004925450512389704</v>
      </c>
      <c r="O31" s="16">
        <v>0.002243463561103679</v>
      </c>
      <c r="P31" s="16">
        <v>0.00569255239325911</v>
      </c>
      <c r="Q31" s="16">
        <v>0.04576400000000001</v>
      </c>
      <c r="R31" s="16">
        <v>0.07132</v>
      </c>
      <c r="S31" s="16">
        <v>0.0343935</v>
      </c>
      <c r="T31" s="16">
        <v>0.04826</v>
      </c>
      <c r="U31" s="16">
        <v>0.08676700000000001</v>
      </c>
      <c r="V31" s="16">
        <v>0.045375</v>
      </c>
      <c r="W31" s="16">
        <v>0.07175999999999999</v>
      </c>
      <c r="X31" s="16">
        <v>0.03407</v>
      </c>
      <c r="Y31" s="16">
        <v>0.047845</v>
      </c>
      <c r="Z31" s="16">
        <v>0.087395</v>
      </c>
      <c r="AA31" s="15">
        <v>0.002580243011811097</v>
      </c>
      <c r="AB31" s="16">
        <v>0.001948227399458286</v>
      </c>
      <c r="AC31" s="16">
        <v>0.004045222212684984</v>
      </c>
      <c r="AD31" s="16">
        <v>0.002362333592022938</v>
      </c>
      <c r="AE31" s="16">
        <v>0.007181807641534267</v>
      </c>
      <c r="AG31" s="16">
        <v>0.88448</v>
      </c>
      <c r="AH31" s="16">
        <v>0.41948</v>
      </c>
      <c r="AI31" s="16">
        <v>0.02897</v>
      </c>
      <c r="AJ31" s="16">
        <v>0.88516</v>
      </c>
      <c r="AK31" s="16">
        <v>0.4125</v>
      </c>
      <c r="AL31" s="16">
        <v>0.03139</v>
      </c>
    </row>
    <row r="32">
      <c r="A32" s="14" t="s">
        <v>44</v>
      </c>
      <c r="B32" s="15">
        <v>0.047363</v>
      </c>
      <c r="C32" s="16">
        <v>0.06891050000000001</v>
      </c>
      <c r="D32" s="16">
        <v>0.03288100000000001</v>
      </c>
      <c r="E32" s="16">
        <v>0.0461125</v>
      </c>
      <c r="F32" s="16">
        <v>0.087678</v>
      </c>
      <c r="G32" s="16">
        <v>0.04758</v>
      </c>
      <c r="H32" s="16">
        <v>0.06876499999999999</v>
      </c>
      <c r="I32" s="16">
        <v>0.03246</v>
      </c>
      <c r="J32" s="16">
        <v>0.04636</v>
      </c>
      <c r="K32" s="16">
        <v>0.087185</v>
      </c>
      <c r="L32" s="16">
        <v>0.002673885001266883</v>
      </c>
      <c r="M32" s="16">
        <v>0.002005301660598724</v>
      </c>
      <c r="N32" s="16">
        <v>0.003461808631337094</v>
      </c>
      <c r="O32" s="16">
        <v>0.002755976913909113</v>
      </c>
      <c r="P32" s="16">
        <v>0.01012967304506913</v>
      </c>
      <c r="Q32" s="16">
        <v>0.0433395</v>
      </c>
      <c r="R32" s="16">
        <v>0.0764065</v>
      </c>
      <c r="S32" s="16">
        <v>0.039564</v>
      </c>
      <c r="T32" s="16">
        <v>0.05280950000000001</v>
      </c>
      <c r="U32" s="16">
        <v>0.0929535</v>
      </c>
      <c r="V32" s="16">
        <v>0.043695</v>
      </c>
      <c r="W32" s="16">
        <v>0.07611000000000001</v>
      </c>
      <c r="X32" s="16">
        <v>0.038525</v>
      </c>
      <c r="Y32" s="16">
        <v>0.05236</v>
      </c>
      <c r="Z32" s="16">
        <v>0.09247</v>
      </c>
      <c r="AA32" s="15">
        <v>0.003115187755176243</v>
      </c>
      <c r="AB32" s="16">
        <v>0.001809055761992978</v>
      </c>
      <c r="AC32" s="16">
        <v>0.004801712611141987</v>
      </c>
      <c r="AD32" s="16">
        <v>0.002084239609545888</v>
      </c>
      <c r="AE32" s="16">
        <v>0.006244914150730977</v>
      </c>
      <c r="AG32" s="16">
        <v>0.87079</v>
      </c>
      <c r="AH32" s="16">
        <v>0.41181</v>
      </c>
      <c r="AI32" s="16">
        <v>0.32501</v>
      </c>
      <c r="AJ32" s="16">
        <v>0.89585</v>
      </c>
      <c r="AK32" s="16">
        <v>0.41545</v>
      </c>
      <c r="AL32" s="16">
        <v>0.0297</v>
      </c>
    </row>
    <row r="33">
      <c r="A33" s="14" t="s">
        <v>45</v>
      </c>
      <c r="B33" s="15">
        <v>0.046964</v>
      </c>
      <c r="C33" s="16">
        <v>0.077673</v>
      </c>
      <c r="D33" s="16">
        <v>0.0445535</v>
      </c>
      <c r="E33" s="16">
        <v>0.055755</v>
      </c>
      <c r="F33" s="16">
        <v>0.09193899999999999</v>
      </c>
      <c r="G33" s="16">
        <v>0.04592</v>
      </c>
      <c r="H33" s="16">
        <v>0.077795</v>
      </c>
      <c r="I33" s="16">
        <v>0.044435</v>
      </c>
      <c r="J33" s="16">
        <v>0.0552</v>
      </c>
      <c r="K33" s="16">
        <v>0.093995</v>
      </c>
      <c r="L33" s="16">
        <v>0.003462044771518705</v>
      </c>
      <c r="M33" s="16">
        <v>0.001632164513766918</v>
      </c>
      <c r="N33" s="16">
        <v>0.004344243633821659</v>
      </c>
      <c r="O33" s="16">
        <v>0.002311031155134001</v>
      </c>
      <c r="P33" s="16">
        <v>0.005733515413775391</v>
      </c>
      <c r="Q33" s="16">
        <v>0.05080949999999999</v>
      </c>
      <c r="R33" s="16">
        <v>0.074893</v>
      </c>
      <c r="S33" s="16">
        <v>0.03777700000000001</v>
      </c>
      <c r="T33" s="16">
        <v>0.0519045</v>
      </c>
      <c r="U33" s="16">
        <v>0.0916875</v>
      </c>
      <c r="V33" s="16">
        <v>0.051055</v>
      </c>
      <c r="W33" s="16">
        <v>0.07517</v>
      </c>
      <c r="X33" s="16">
        <v>0.0375</v>
      </c>
      <c r="Y33" s="16">
        <v>0.05203000000000001</v>
      </c>
      <c r="Z33" s="16">
        <v>0.09305</v>
      </c>
      <c r="AA33" s="15">
        <v>0.003197510711475413</v>
      </c>
      <c r="AB33" s="16">
        <v>0.002502454994600303</v>
      </c>
      <c r="AC33" s="16">
        <v>0.002754177009562022</v>
      </c>
      <c r="AD33" s="16">
        <v>0.002118347174095879</v>
      </c>
      <c r="AE33" s="16">
        <v>0.005497811269041526</v>
      </c>
      <c r="AG33" s="16">
        <v>0.87955</v>
      </c>
      <c r="AH33" s="16">
        <v>0.42915</v>
      </c>
      <c r="AI33" s="16">
        <v>0.45066</v>
      </c>
      <c r="AJ33" s="16">
        <v>0.88808</v>
      </c>
      <c r="AK33" s="16">
        <v>0.40091</v>
      </c>
      <c r="AL33" s="16">
        <v>0.03452</v>
      </c>
    </row>
    <row r="34">
      <c r="A34" s="14" t="s">
        <v>46</v>
      </c>
      <c r="B34" s="15">
        <v>0.036805</v>
      </c>
      <c r="C34" s="16">
        <v>0.04887399999999999</v>
      </c>
      <c r="D34" s="16">
        <v>0.0296225</v>
      </c>
      <c r="E34" s="16">
        <v>0.036963</v>
      </c>
      <c r="F34" s="16">
        <v>0.06148500000000001</v>
      </c>
      <c r="G34" s="16">
        <v>0.03666</v>
      </c>
      <c r="H34" s="16">
        <v>0.04896</v>
      </c>
      <c r="I34" s="16">
        <v>0.02975</v>
      </c>
      <c r="J34" s="16">
        <v>0.036725</v>
      </c>
      <c r="K34" s="16">
        <v>0.060475</v>
      </c>
      <c r="L34" s="16">
        <v>0.001643318289315858</v>
      </c>
      <c r="M34" s="16">
        <v>7.995523747697833E-4</v>
      </c>
      <c r="N34" s="16">
        <v>0.003539927788811517</v>
      </c>
      <c r="O34" s="16">
        <v>0.001042996164901867</v>
      </c>
      <c r="P34" s="16">
        <v>0.004844765732210383</v>
      </c>
      <c r="Q34" s="16">
        <v>0.0367415</v>
      </c>
      <c r="R34" s="16">
        <v>0.05005</v>
      </c>
      <c r="S34" s="16">
        <v>0.0287365</v>
      </c>
      <c r="T34" s="16">
        <v>0.03737349999999999</v>
      </c>
      <c r="U34" s="16">
        <v>0.06091100000000001</v>
      </c>
      <c r="V34" s="16">
        <v>0.036555</v>
      </c>
      <c r="W34" s="16">
        <v>0.05016</v>
      </c>
      <c r="X34" s="16">
        <v>0.028695</v>
      </c>
      <c r="Y34" s="16">
        <v>0.03777</v>
      </c>
      <c r="Z34" s="16">
        <v>0.06035</v>
      </c>
      <c r="AA34" s="15">
        <v>0.002357959446216156</v>
      </c>
      <c r="AB34" s="16">
        <v>0.001218084561924993</v>
      </c>
      <c r="AC34" s="16">
        <v>0.002574453874125539</v>
      </c>
      <c r="AD34" s="16">
        <v>0.001439066624586923</v>
      </c>
      <c r="AE34" s="16">
        <v>0.003846433282925885</v>
      </c>
      <c r="AG34" s="16">
        <v>0.96895</v>
      </c>
      <c r="AH34" s="16">
        <v>0.44295</v>
      </c>
      <c r="AI34" s="16">
        <v>1.15879</v>
      </c>
      <c r="AJ34" s="16">
        <v>0.98842</v>
      </c>
      <c r="AK34" s="16">
        <v>0.47764</v>
      </c>
      <c r="AL34" s="16">
        <v>1.08958</v>
      </c>
    </row>
    <row r="35">
      <c r="A35" s="14" t="s">
        <v>47</v>
      </c>
      <c r="B35" s="15">
        <v>0.053331</v>
      </c>
      <c r="C35" s="16">
        <v>0.07193449999999998</v>
      </c>
      <c r="D35" s="16">
        <v>0.0461845</v>
      </c>
      <c r="E35" s="16">
        <v>0.05706</v>
      </c>
      <c r="F35" s="16">
        <v>0.07660150000000002</v>
      </c>
      <c r="G35" s="16">
        <v>0.052995</v>
      </c>
      <c r="H35" s="16">
        <v>0.072385</v>
      </c>
      <c r="I35" s="16">
        <v>0.046375</v>
      </c>
      <c r="J35" s="16">
        <v>0.0568</v>
      </c>
      <c r="K35" s="16">
        <v>0.075205</v>
      </c>
      <c r="L35" s="16">
        <v>0.002620148659904625</v>
      </c>
      <c r="M35" s="16">
        <v>0.001684109482783111</v>
      </c>
      <c r="N35" s="16">
        <v>0.004124701777098557</v>
      </c>
      <c r="O35" s="16">
        <v>0.002011924451861947</v>
      </c>
      <c r="P35" s="16">
        <v>0.005977503889584681</v>
      </c>
      <c r="Q35" s="16">
        <v>0.04147849999999999</v>
      </c>
      <c r="R35" s="16">
        <v>0.055943</v>
      </c>
      <c r="S35" s="16">
        <v>0.0329825</v>
      </c>
      <c r="T35" s="16">
        <v>0.0421315</v>
      </c>
      <c r="U35" s="16">
        <v>0.0692825</v>
      </c>
      <c r="V35" s="16">
        <v>0.041385</v>
      </c>
      <c r="W35" s="16">
        <v>0.056035</v>
      </c>
      <c r="X35" s="16">
        <v>0.032825</v>
      </c>
      <c r="Y35" s="16">
        <v>0.042635</v>
      </c>
      <c r="Z35" s="16">
        <v>0.06828000000000001</v>
      </c>
      <c r="AA35" s="15">
        <v>0.002570095863970836</v>
      </c>
      <c r="AB35" s="16">
        <v>0.001289663134310662</v>
      </c>
      <c r="AC35" s="16">
        <v>0.003736254642017859</v>
      </c>
      <c r="AD35" s="16">
        <v>0.002040429550364334</v>
      </c>
      <c r="AE35" s="16">
        <v>0.004240545808029904</v>
      </c>
      <c r="AG35" s="16">
        <v>0.96571</v>
      </c>
      <c r="AH35" s="16">
        <v>0.44334</v>
      </c>
      <c r="AI35" s="16">
        <v>1.13664</v>
      </c>
      <c r="AJ35" s="16">
        <v>0.91843</v>
      </c>
      <c r="AK35" s="16">
        <v>0.40534</v>
      </c>
      <c r="AL35" s="16">
        <v>1.04048</v>
      </c>
    </row>
    <row r="36">
      <c r="A36" s="14" t="s">
        <v>48</v>
      </c>
      <c r="B36" s="15">
        <v>0.04849850000000001</v>
      </c>
      <c r="C36" s="16">
        <v>0.070047</v>
      </c>
      <c r="D36" s="16">
        <v>0.0430175</v>
      </c>
      <c r="E36" s="16">
        <v>0.05450000000000001</v>
      </c>
      <c r="F36" s="16">
        <v>0.076852</v>
      </c>
      <c r="G36" s="16">
        <v>0.04826</v>
      </c>
      <c r="H36" s="16">
        <v>0.0702</v>
      </c>
      <c r="I36" s="16">
        <v>0.04453500000000001</v>
      </c>
      <c r="J36" s="16">
        <v>0.054875</v>
      </c>
      <c r="K36" s="16">
        <v>0.07753</v>
      </c>
      <c r="L36" s="16">
        <v>0.002372336980700677</v>
      </c>
      <c r="M36" s="16">
        <v>0.001531525709872348</v>
      </c>
      <c r="N36" s="16">
        <v>0.004301931978774189</v>
      </c>
      <c r="O36" s="16">
        <v>0.001727660267529471</v>
      </c>
      <c r="P36" s="16">
        <v>0.00638370002428059</v>
      </c>
      <c r="Q36" s="16">
        <v>0.04110999999999999</v>
      </c>
      <c r="R36" s="16">
        <v>0.05953949999999999</v>
      </c>
      <c r="S36" s="16">
        <v>0.035891</v>
      </c>
      <c r="T36" s="16">
        <v>0.0451695</v>
      </c>
      <c r="U36" s="16">
        <v>0.068047</v>
      </c>
      <c r="V36" s="16">
        <v>0.041495</v>
      </c>
      <c r="W36" s="16">
        <v>0.05964</v>
      </c>
      <c r="X36" s="16">
        <v>0.03588</v>
      </c>
      <c r="Y36" s="16">
        <v>0.045135</v>
      </c>
      <c r="Z36" s="16">
        <v>0.06781000000000001</v>
      </c>
      <c r="AA36" s="15">
        <v>0.001818843038857394</v>
      </c>
      <c r="AB36" s="16">
        <v>0.001002883218525467</v>
      </c>
      <c r="AC36" s="16">
        <v>0.002294859254943536</v>
      </c>
      <c r="AD36" s="16">
        <v>0.001580245155031333</v>
      </c>
      <c r="AE36" s="16">
        <v>0.004529694360550169</v>
      </c>
      <c r="AG36" s="16">
        <v>0.946</v>
      </c>
      <c r="AH36" s="16">
        <v>0.48735</v>
      </c>
      <c r="AI36" s="16">
        <v>1.11799</v>
      </c>
      <c r="AJ36" s="16">
        <v>0.92962</v>
      </c>
      <c r="AK36" s="16">
        <v>0.39989</v>
      </c>
      <c r="AL36" s="16">
        <v>1.05019</v>
      </c>
    </row>
    <row r="37">
      <c r="A37" s="14" t="s">
        <v>49</v>
      </c>
      <c r="B37" s="15">
        <v>0.039464</v>
      </c>
      <c r="C37" s="16">
        <v>0.0616405</v>
      </c>
      <c r="D37" s="16">
        <v>0.0415415</v>
      </c>
      <c r="E37" s="16">
        <v>0.04864099999999999</v>
      </c>
      <c r="F37" s="16">
        <v>0.0686535</v>
      </c>
      <c r="G37" s="16">
        <v>0.03917</v>
      </c>
      <c r="H37" s="16">
        <v>0.06147</v>
      </c>
      <c r="I37" s="16">
        <v>0.041945</v>
      </c>
      <c r="J37" s="16">
        <v>0.0487</v>
      </c>
      <c r="K37" s="16">
        <v>0.06961</v>
      </c>
      <c r="L37" s="16">
        <v>0.00262884651510886</v>
      </c>
      <c r="M37" s="16">
        <v>0.001836650415838571</v>
      </c>
      <c r="N37" s="16">
        <v>0.004893942454708678</v>
      </c>
      <c r="O37" s="16">
        <v>0.001883305339024982</v>
      </c>
      <c r="P37" s="16">
        <v>0.004081731587206586</v>
      </c>
      <c r="Q37" s="16">
        <v>0.047386</v>
      </c>
      <c r="R37" s="16">
        <v>0.062339</v>
      </c>
      <c r="S37" s="16">
        <v>0.0375945</v>
      </c>
      <c r="T37" s="16">
        <v>0.04797950000000001</v>
      </c>
      <c r="U37" s="16">
        <v>0.065412</v>
      </c>
      <c r="V37" s="16">
        <v>0.047805</v>
      </c>
      <c r="W37" s="16">
        <v>0.062535</v>
      </c>
      <c r="X37" s="16">
        <v>0.038035</v>
      </c>
      <c r="Y37" s="16">
        <v>0.04753</v>
      </c>
      <c r="Z37" s="16">
        <v>0.065595</v>
      </c>
      <c r="AA37" s="15">
        <v>0.002524130345287264</v>
      </c>
      <c r="AB37" s="16">
        <v>9.456738338349007E-4</v>
      </c>
      <c r="AC37" s="16">
        <v>0.003903687327386762</v>
      </c>
      <c r="AD37" s="16">
        <v>0.00176369349661442</v>
      </c>
      <c r="AE37" s="16">
        <v>0.005768225550375089</v>
      </c>
      <c r="AG37" s="16">
        <v>0.898</v>
      </c>
      <c r="AH37" s="16">
        <v>0.42586</v>
      </c>
      <c r="AI37" s="16">
        <v>1.06462</v>
      </c>
      <c r="AJ37" s="16">
        <v>0.95705</v>
      </c>
      <c r="AK37" s="16">
        <v>0.41885</v>
      </c>
      <c r="AL37" s="16">
        <v>1.09344</v>
      </c>
    </row>
    <row r="38">
      <c r="A38" s="14" t="s">
        <v>50</v>
      </c>
      <c r="B38" s="15">
        <v>0.039154</v>
      </c>
      <c r="C38" s="16">
        <v>0.059321</v>
      </c>
      <c r="D38" s="16">
        <v>0.0356915</v>
      </c>
      <c r="E38" s="16">
        <v>0.0451795</v>
      </c>
      <c r="F38" s="16">
        <v>0.06725600000000001</v>
      </c>
      <c r="G38" s="16">
        <v>0.039555</v>
      </c>
      <c r="H38" s="16">
        <v>0.05959</v>
      </c>
      <c r="I38" s="16">
        <v>0.036025</v>
      </c>
      <c r="J38" s="16">
        <v>0.045455</v>
      </c>
      <c r="K38" s="16">
        <v>0.06800500000000001</v>
      </c>
      <c r="L38" s="16">
        <v>0.001789316629330874</v>
      </c>
      <c r="M38" s="16">
        <v>0.001400713746630624</v>
      </c>
      <c r="N38" s="16">
        <v>0.003464444075172811</v>
      </c>
      <c r="O38" s="16">
        <v>0.001880081048784865</v>
      </c>
      <c r="P38" s="16">
        <v>0.005875701149650143</v>
      </c>
      <c r="Q38" s="16">
        <v>0.0395375</v>
      </c>
      <c r="R38" s="16">
        <v>0.0580835</v>
      </c>
      <c r="S38" s="16">
        <v>0.03213899999999999</v>
      </c>
      <c r="T38" s="16">
        <v>0.04289199999999999</v>
      </c>
      <c r="U38" s="16">
        <v>0.06739900000000001</v>
      </c>
      <c r="V38" s="16">
        <v>0.03942</v>
      </c>
      <c r="W38" s="16">
        <v>0.057925</v>
      </c>
      <c r="X38" s="16">
        <v>0.031565</v>
      </c>
      <c r="Y38" s="16">
        <v>0.04317</v>
      </c>
      <c r="Z38" s="16">
        <v>0.0675</v>
      </c>
      <c r="AA38" s="15">
        <v>0.002258512508267333</v>
      </c>
      <c r="AB38" s="16">
        <v>0.001308301475195989</v>
      </c>
      <c r="AC38" s="16">
        <v>0.002547732128776493</v>
      </c>
      <c r="AD38" s="16">
        <v>0.001965320838947167</v>
      </c>
      <c r="AE38" s="16">
        <v>0.004020828148528609</v>
      </c>
      <c r="AG38" s="16">
        <v>0.93567</v>
      </c>
      <c r="AH38" s="16">
        <v>0.39387</v>
      </c>
      <c r="AI38" s="16">
        <v>1.13338</v>
      </c>
      <c r="AJ38" s="16">
        <v>0.91983</v>
      </c>
      <c r="AK38" s="16">
        <v>0.37507</v>
      </c>
      <c r="AL38" s="16">
        <v>1.04999</v>
      </c>
    </row>
    <row r="39">
      <c r="A39" s="14" t="s">
        <v>51</v>
      </c>
      <c r="B39" s="15">
        <v>0.05024650000000001</v>
      </c>
      <c r="C39" s="16">
        <v>0.07252850000000001</v>
      </c>
      <c r="D39" s="16">
        <v>0.043409</v>
      </c>
      <c r="E39" s="16">
        <v>0.05658949999999999</v>
      </c>
      <c r="F39" s="16">
        <v>0.0805815</v>
      </c>
      <c r="G39" s="16">
        <v>0.05027</v>
      </c>
      <c r="H39" s="16">
        <v>0.07229</v>
      </c>
      <c r="I39" s="16">
        <v>0.043075</v>
      </c>
      <c r="J39" s="16">
        <v>0.056415</v>
      </c>
      <c r="K39" s="16">
        <v>0.081345</v>
      </c>
      <c r="L39" s="16">
        <v>0.003612804001049599</v>
      </c>
      <c r="M39" s="16">
        <v>0.001497291805227024</v>
      </c>
      <c r="N39" s="16">
        <v>0.004161010574367722</v>
      </c>
      <c r="O39" s="16">
        <v>0.002062315385676982</v>
      </c>
      <c r="P39" s="16">
        <v>0.005472484147989832</v>
      </c>
      <c r="Q39" s="16">
        <v>0.03466550000000001</v>
      </c>
      <c r="R39" s="16">
        <v>0.056809</v>
      </c>
      <c r="S39" s="16">
        <v>0.03459650000000001</v>
      </c>
      <c r="T39" s="16">
        <v>0.043118</v>
      </c>
      <c r="U39" s="16">
        <v>0.07076350000000001</v>
      </c>
      <c r="V39" s="16">
        <v>0.03450499999999999</v>
      </c>
      <c r="W39" s="16">
        <v>0.056575</v>
      </c>
      <c r="X39" s="16">
        <v>0.03478000000000001</v>
      </c>
      <c r="Y39" s="16">
        <v>0.043385</v>
      </c>
      <c r="Z39" s="16">
        <v>0.07058</v>
      </c>
      <c r="AA39" s="15">
        <v>0.002188637647030682</v>
      </c>
      <c r="AB39" s="16">
        <v>0.00136658296491651</v>
      </c>
      <c r="AC39" s="16">
        <v>0.004691183512718298</v>
      </c>
      <c r="AD39" s="16">
        <v>0.001145912736642717</v>
      </c>
      <c r="AE39" s="16">
        <v>0.003610138882370039</v>
      </c>
      <c r="AG39" s="16">
        <v>0.98917</v>
      </c>
      <c r="AH39" s="16">
        <v>0.44181</v>
      </c>
      <c r="AI39" s="16">
        <v>1.19395</v>
      </c>
      <c r="AJ39" s="16">
        <v>0.9077</v>
      </c>
      <c r="AK39" s="16">
        <v>0.38492</v>
      </c>
      <c r="AL39" s="16">
        <v>1.04512</v>
      </c>
    </row>
    <row r="40">
      <c r="A40" s="14" t="s">
        <v>52</v>
      </c>
      <c r="B40" s="15">
        <v>0.0395985</v>
      </c>
      <c r="C40" s="16">
        <v>0.051913</v>
      </c>
      <c r="D40" s="16">
        <v>0.038552</v>
      </c>
      <c r="E40" s="16">
        <v>0.0417235</v>
      </c>
      <c r="F40" s="16">
        <v>0.05691300000000001</v>
      </c>
      <c r="G40" s="16">
        <v>0.03969</v>
      </c>
      <c r="H40" s="16">
        <v>0.05194</v>
      </c>
      <c r="I40" s="16">
        <v>0.039325</v>
      </c>
      <c r="J40" s="16">
        <v>0.041825</v>
      </c>
      <c r="K40" s="16">
        <v>0.05741</v>
      </c>
      <c r="L40" s="16">
        <v>0.002094593695684201</v>
      </c>
      <c r="M40" s="16">
        <v>8.59244435536245E-4</v>
      </c>
      <c r="N40" s="16">
        <v>0.00250335295154319</v>
      </c>
      <c r="O40" s="16">
        <v>0.001310790887212754</v>
      </c>
      <c r="P40" s="16">
        <v>0.002571598918960731</v>
      </c>
      <c r="Q40" s="16">
        <v>0.0358815</v>
      </c>
      <c r="R40" s="16">
        <v>0.0472595</v>
      </c>
      <c r="S40" s="16">
        <v>0.0362905</v>
      </c>
      <c r="T40" s="16">
        <v>0.0391355</v>
      </c>
      <c r="U40" s="16">
        <v>0.0460185</v>
      </c>
      <c r="V40" s="16">
        <v>0.03588</v>
      </c>
      <c r="W40" s="16">
        <v>0.04737</v>
      </c>
      <c r="X40" s="16">
        <v>0.036935</v>
      </c>
      <c r="Y40" s="16">
        <v>0.039265</v>
      </c>
      <c r="Z40" s="16">
        <v>0.04606</v>
      </c>
      <c r="AA40" s="15">
        <v>0.001628257580974214</v>
      </c>
      <c r="AB40" s="16">
        <v>9.781997495399391E-4</v>
      </c>
      <c r="AC40" s="16">
        <v>0.003455795820068078</v>
      </c>
      <c r="AD40" s="16">
        <v>0.00106927300068785</v>
      </c>
      <c r="AE40" s="16">
        <v>0.002818171880847582</v>
      </c>
      <c r="AG40" s="17" t="s">
        <v>53</v>
      </c>
      <c r="AH40" s="17" t="s">
        <v>53</v>
      </c>
      <c r="AI40" s="16">
        <v>1.11962</v>
      </c>
      <c r="AJ40" s="16">
        <v>0.97019</v>
      </c>
      <c r="AK40" s="16">
        <v>0.42069</v>
      </c>
      <c r="AL40" s="16">
        <v>1.14533</v>
      </c>
    </row>
    <row r="41">
      <c r="A41" s="14" t="s">
        <v>54</v>
      </c>
      <c r="B41" s="15">
        <v>0.032076</v>
      </c>
      <c r="C41" s="16">
        <v>0.0434335</v>
      </c>
      <c r="D41" s="16">
        <v>0.03187350000000001</v>
      </c>
      <c r="E41" s="16">
        <v>0.0354935</v>
      </c>
      <c r="F41" s="16">
        <v>0.05108900000000001</v>
      </c>
      <c r="G41" s="16">
        <v>0.032235</v>
      </c>
      <c r="H41" s="16">
        <v>0.043325</v>
      </c>
      <c r="I41" s="16">
        <v>0.03207</v>
      </c>
      <c r="J41" s="16">
        <v>0.0356</v>
      </c>
      <c r="K41" s="16">
        <v>0.051315</v>
      </c>
      <c r="L41" s="16">
        <v>0.001581396218536013</v>
      </c>
      <c r="M41" s="16">
        <v>5.886023700258098E-4</v>
      </c>
      <c r="N41" s="16">
        <v>0.002276188206190341</v>
      </c>
      <c r="O41" s="16">
        <v>9.567563691975095E-4</v>
      </c>
      <c r="P41" s="16">
        <v>0.003699170042049973</v>
      </c>
      <c r="Q41" s="16">
        <v>0.0204275</v>
      </c>
      <c r="R41" s="16">
        <v>0.03645</v>
      </c>
      <c r="S41" s="16">
        <v>0.0253225</v>
      </c>
      <c r="T41" s="16">
        <v>0.028503</v>
      </c>
      <c r="U41" s="16">
        <v>0.04487400000000001</v>
      </c>
      <c r="V41" s="16">
        <v>0.020555</v>
      </c>
      <c r="W41" s="16">
        <v>0.0366</v>
      </c>
      <c r="X41" s="16">
        <v>0.025455</v>
      </c>
      <c r="Y41" s="16">
        <v>0.02892</v>
      </c>
      <c r="Z41" s="16">
        <v>0.044865</v>
      </c>
      <c r="AA41" s="15">
        <v>0.0016753234762278</v>
      </c>
      <c r="AB41" s="16">
        <v>0.001139293640814343</v>
      </c>
      <c r="AC41" s="16">
        <v>0.001522264349579271</v>
      </c>
      <c r="AD41" s="16">
        <v>0.001138969270876084</v>
      </c>
      <c r="AE41" s="16">
        <v>0.001708418566979415</v>
      </c>
      <c r="AG41" s="16">
        <v>1.05916</v>
      </c>
      <c r="AH41" s="16">
        <v>0.56276</v>
      </c>
      <c r="AI41" s="16">
        <v>1.26082</v>
      </c>
      <c r="AJ41" s="16">
        <v>1.00045</v>
      </c>
      <c r="AK41" s="16">
        <v>0.45357</v>
      </c>
      <c r="AL41" s="16">
        <v>1.19536</v>
      </c>
    </row>
    <row r="42">
      <c r="A42" s="14" t="s">
        <v>55</v>
      </c>
      <c r="B42" s="15">
        <v>0.03971499999999999</v>
      </c>
      <c r="C42" s="16">
        <v>0.054065</v>
      </c>
      <c r="D42" s="16">
        <v>0.03963599999999999</v>
      </c>
      <c r="E42" s="16">
        <v>0.0436115</v>
      </c>
      <c r="F42" s="16">
        <v>0.060107</v>
      </c>
      <c r="G42" s="16">
        <v>0.040045</v>
      </c>
      <c r="H42" s="16">
        <v>0.05413999999999999</v>
      </c>
      <c r="I42" s="16">
        <v>0.04069</v>
      </c>
      <c r="J42" s="16">
        <v>0.043545</v>
      </c>
      <c r="K42" s="16">
        <v>0.0609</v>
      </c>
      <c r="L42" s="16">
        <v>0.001804337828678433</v>
      </c>
      <c r="M42" s="16">
        <v>0.001254202934137854</v>
      </c>
      <c r="N42" s="16">
        <v>0.00244778348715731</v>
      </c>
      <c r="O42" s="16">
        <v>0.001234626562973598</v>
      </c>
      <c r="P42" s="16">
        <v>0.003223023580428786</v>
      </c>
      <c r="Q42" s="16">
        <v>0.0227415</v>
      </c>
      <c r="R42" s="16">
        <v>0.038796</v>
      </c>
      <c r="S42" s="16">
        <v>0.026005</v>
      </c>
      <c r="T42" s="16">
        <v>0.02997650000000001</v>
      </c>
      <c r="U42" s="16">
        <v>0.0466815</v>
      </c>
      <c r="V42" s="16">
        <v>0.021875</v>
      </c>
      <c r="W42" s="16">
        <v>0.03884</v>
      </c>
      <c r="X42" s="16">
        <v>0.026055</v>
      </c>
      <c r="Y42" s="16">
        <v>0.030135</v>
      </c>
      <c r="Z42" s="16">
        <v>0.04666</v>
      </c>
      <c r="AA42" s="15">
        <v>0.002184637899057873</v>
      </c>
      <c r="AB42" s="16">
        <v>6.396671009204707E-4</v>
      </c>
      <c r="AC42" s="16">
        <v>0.002535579815347961</v>
      </c>
      <c r="AD42" s="16">
        <v>0.001114617759592947</v>
      </c>
      <c r="AE42" s="16">
        <v>0.002322882422767025</v>
      </c>
      <c r="AG42" s="16">
        <v>1.05084</v>
      </c>
      <c r="AH42" s="16">
        <v>0.50378</v>
      </c>
      <c r="AI42" s="16">
        <v>1.25133</v>
      </c>
      <c r="AJ42" s="16">
        <v>0.97878</v>
      </c>
      <c r="AK42" s="16">
        <v>0.42059</v>
      </c>
      <c r="AL42" s="16">
        <v>1.16739</v>
      </c>
    </row>
    <row r="43">
      <c r="A43" s="14" t="s">
        <v>56</v>
      </c>
      <c r="B43" s="15">
        <v>0.0257085</v>
      </c>
      <c r="C43" s="16">
        <v>0.0412975</v>
      </c>
      <c r="D43" s="16">
        <v>0.033148</v>
      </c>
      <c r="E43" s="16">
        <v>0.034078</v>
      </c>
      <c r="F43" s="16">
        <v>0.050021</v>
      </c>
      <c r="G43" s="16">
        <v>0.025725</v>
      </c>
      <c r="H43" s="16">
        <v>0.041505</v>
      </c>
      <c r="I43" s="16">
        <v>0.03269</v>
      </c>
      <c r="J43" s="16">
        <v>0.034265</v>
      </c>
      <c r="K43" s="16">
        <v>0.048895</v>
      </c>
      <c r="L43" s="16">
        <v>0.001349415706889467</v>
      </c>
      <c r="M43" s="16">
        <v>9.645925305537059E-4</v>
      </c>
      <c r="N43" s="16">
        <v>0.00317906212584781</v>
      </c>
      <c r="O43" s="16">
        <v>9.297236148447566E-4</v>
      </c>
      <c r="P43" s="16">
        <v>0.003057300933830361</v>
      </c>
      <c r="Q43" s="16">
        <v>0.0201165</v>
      </c>
      <c r="R43" s="16">
        <v>0.0347215</v>
      </c>
      <c r="S43" s="16">
        <v>0.026228</v>
      </c>
      <c r="T43" s="16">
        <v>0.0267365</v>
      </c>
      <c r="U43" s="16">
        <v>0.043178</v>
      </c>
      <c r="V43" s="16">
        <v>0.020215</v>
      </c>
      <c r="W43" s="16">
        <v>0.034635</v>
      </c>
      <c r="X43" s="16">
        <v>0.026</v>
      </c>
      <c r="Y43" s="16">
        <v>0.026675</v>
      </c>
      <c r="Z43" s="16">
        <v>0.04331</v>
      </c>
      <c r="AA43" s="15">
        <v>9.72719255489476E-4</v>
      </c>
      <c r="AB43" s="16">
        <v>6.898860413140706E-4</v>
      </c>
      <c r="AC43" s="16">
        <v>0.002765106869544105</v>
      </c>
      <c r="AD43" s="16">
        <v>9.809601164165642E-4</v>
      </c>
      <c r="AE43" s="16">
        <v>0.002294440236746208</v>
      </c>
      <c r="AG43" s="16">
        <v>1.06774</v>
      </c>
      <c r="AH43" s="16">
        <v>0.4882</v>
      </c>
      <c r="AI43" s="16">
        <v>1.2621</v>
      </c>
      <c r="AJ43" s="16">
        <v>1.0495</v>
      </c>
      <c r="AK43" s="16">
        <v>0.46274</v>
      </c>
      <c r="AL43" s="16">
        <v>1.24751</v>
      </c>
    </row>
    <row r="44">
      <c r="A44" s="14" t="s">
        <v>57</v>
      </c>
      <c r="B44" s="15">
        <v>0.0275815</v>
      </c>
      <c r="C44" s="16">
        <v>0.0427235</v>
      </c>
      <c r="D44" s="16">
        <v>0.034023</v>
      </c>
      <c r="E44" s="16">
        <v>0.035512</v>
      </c>
      <c r="F44" s="16">
        <v>0.0497575</v>
      </c>
      <c r="G44" s="16">
        <v>0.027475</v>
      </c>
      <c r="H44" s="16">
        <v>0.04275</v>
      </c>
      <c r="I44" s="16">
        <v>0.034245</v>
      </c>
      <c r="J44" s="16">
        <v>0.035745</v>
      </c>
      <c r="K44" s="16">
        <v>0.049945</v>
      </c>
      <c r="L44" s="16">
        <v>0.001480497467069768</v>
      </c>
      <c r="M44" s="16">
        <v>9.658740859967201E-4</v>
      </c>
      <c r="N44" s="16">
        <v>0.002148017923575127</v>
      </c>
      <c r="O44" s="16">
        <v>0.001070740865008897</v>
      </c>
      <c r="P44" s="16">
        <v>0.001908134887789644</v>
      </c>
      <c r="Q44" s="16">
        <v>0.024046</v>
      </c>
      <c r="R44" s="16">
        <v>0.039728</v>
      </c>
      <c r="S44" s="16">
        <v>0.027704</v>
      </c>
      <c r="T44" s="16">
        <v>0.030332</v>
      </c>
      <c r="U44" s="16">
        <v>0.0491135</v>
      </c>
      <c r="V44" s="16">
        <v>0.02427</v>
      </c>
      <c r="W44" s="16">
        <v>0.039615</v>
      </c>
      <c r="X44" s="16">
        <v>0.027835</v>
      </c>
      <c r="Y44" s="16">
        <v>0.03033</v>
      </c>
      <c r="Z44" s="16">
        <v>0.04935</v>
      </c>
      <c r="AA44" s="15">
        <v>0.001837583739588485</v>
      </c>
      <c r="AB44" s="16">
        <v>0.0010474282791676</v>
      </c>
      <c r="AC44" s="16">
        <v>0.001969889336993325</v>
      </c>
      <c r="AD44" s="16">
        <v>0.001424231722719306</v>
      </c>
      <c r="AE44" s="16">
        <v>0.002217695369071234</v>
      </c>
      <c r="AG44" s="16">
        <v>1.04278</v>
      </c>
      <c r="AH44" s="16">
        <v>0.46259</v>
      </c>
      <c r="AI44" s="17" t="s">
        <v>53</v>
      </c>
      <c r="AJ44" s="16">
        <v>1.05454</v>
      </c>
      <c r="AK44" s="16">
        <v>0.47989</v>
      </c>
      <c r="AL44" s="16">
        <v>1.23094</v>
      </c>
    </row>
    <row r="45">
      <c r="A45" s="14" t="s">
        <v>58</v>
      </c>
      <c r="B45" s="15">
        <v>0.035592</v>
      </c>
      <c r="C45" s="16">
        <v>0.04880549999999999</v>
      </c>
      <c r="D45" s="16">
        <v>0.0369595</v>
      </c>
      <c r="E45" s="16">
        <v>0.038758</v>
      </c>
      <c r="F45" s="16">
        <v>0.05570550000000001</v>
      </c>
      <c r="G45" s="16">
        <v>0.035785</v>
      </c>
      <c r="H45" s="16">
        <v>0.04857</v>
      </c>
      <c r="I45" s="16">
        <v>0.037685</v>
      </c>
      <c r="J45" s="16">
        <v>0.03895</v>
      </c>
      <c r="K45" s="16">
        <v>0.05616</v>
      </c>
      <c r="L45" s="16">
        <v>0.001435905985780406</v>
      </c>
      <c r="M45" s="16">
        <v>8.261505613385497E-4</v>
      </c>
      <c r="N45" s="16">
        <v>0.002901079928233622</v>
      </c>
      <c r="O45" s="16">
        <v>0.001084622514979289</v>
      </c>
      <c r="P45" s="16">
        <v>0.004753598084609172</v>
      </c>
      <c r="Q45" s="16">
        <v>0.0213655</v>
      </c>
      <c r="R45" s="16">
        <v>0.0377265</v>
      </c>
      <c r="S45" s="16">
        <v>0.0256695</v>
      </c>
      <c r="T45" s="16">
        <v>0.0290655</v>
      </c>
      <c r="U45" s="16">
        <v>0.0458465</v>
      </c>
      <c r="V45" s="16">
        <v>0.02125</v>
      </c>
      <c r="W45" s="16">
        <v>0.037445</v>
      </c>
      <c r="X45" s="16">
        <v>0.02524</v>
      </c>
      <c r="Y45" s="16">
        <v>0.029375</v>
      </c>
      <c r="Z45" s="16">
        <v>0.046125</v>
      </c>
      <c r="AA45" s="15">
        <v>0.001370724169918952</v>
      </c>
      <c r="AB45" s="16">
        <v>8.854223568444612E-4</v>
      </c>
      <c r="AC45" s="16">
        <v>0.003032247475058723</v>
      </c>
      <c r="AD45" s="16">
        <v>0.001266003455761476</v>
      </c>
      <c r="AE45" s="16">
        <v>0.002752399453204421</v>
      </c>
      <c r="AG45" s="16">
        <v>1.0578</v>
      </c>
      <c r="AH45" s="16">
        <v>0.50537</v>
      </c>
      <c r="AI45" s="17" t="s">
        <v>53</v>
      </c>
      <c r="AJ45" s="16">
        <v>0.99431</v>
      </c>
      <c r="AK45" s="16">
        <v>0.42859</v>
      </c>
      <c r="AL45" s="16">
        <v>1.1642</v>
      </c>
    </row>
    <row r="46">
      <c r="A46" s="18"/>
    </row>
    <row r="47">
      <c r="A47" s="18"/>
    </row>
    <row r="48">
      <c r="A48" s="18"/>
    </row>
    <row r="49">
      <c r="A49" s="18"/>
      <c r="M49" s="5"/>
      <c r="N49" s="6"/>
      <c r="O49" s="7"/>
      <c r="P49" s="5"/>
      <c r="Q49" s="6"/>
      <c r="R49" s="7"/>
    </row>
    <row r="50">
      <c r="A50" s="18"/>
      <c r="M50" s="9"/>
      <c r="N50" s="9"/>
      <c r="O50" s="9"/>
      <c r="P50" s="9"/>
      <c r="Q50" s="9"/>
      <c r="R50" s="9"/>
    </row>
    <row r="51">
      <c r="A51" s="18"/>
      <c r="M51" s="17"/>
      <c r="N51" s="17"/>
      <c r="O51" s="17"/>
      <c r="P51" s="17"/>
      <c r="Q51" s="17"/>
      <c r="R51" s="17"/>
    </row>
    <row r="52">
      <c r="A52" s="18"/>
      <c r="M52" s="16"/>
      <c r="N52" s="16"/>
      <c r="O52" s="16"/>
      <c r="P52" s="16"/>
      <c r="Q52" s="16"/>
      <c r="R52" s="16"/>
    </row>
    <row r="53">
      <c r="A53" s="18"/>
      <c r="M53" s="16"/>
      <c r="N53" s="16"/>
      <c r="O53" s="16"/>
      <c r="P53" s="16"/>
      <c r="Q53" s="16"/>
      <c r="R53" s="16"/>
    </row>
    <row r="54">
      <c r="A54" s="18"/>
      <c r="B54" s="5"/>
      <c r="C54" s="6"/>
      <c r="D54" s="7"/>
      <c r="E54" s="5"/>
      <c r="F54" s="6"/>
      <c r="G54" s="7"/>
      <c r="M54" s="16"/>
      <c r="N54" s="16"/>
      <c r="O54" s="16"/>
      <c r="P54" s="16"/>
      <c r="Q54" s="16"/>
      <c r="R54" s="16"/>
    </row>
    <row r="55">
      <c r="A55" s="18"/>
      <c r="B55" s="9"/>
      <c r="C55" s="9"/>
      <c r="D55" s="9"/>
      <c r="E55" s="9"/>
      <c r="F55" s="9"/>
      <c r="G55" s="9"/>
      <c r="M55" s="16"/>
      <c r="N55" s="16"/>
      <c r="O55" s="16"/>
      <c r="P55" s="16"/>
      <c r="Q55" s="16"/>
      <c r="R55" s="16"/>
    </row>
    <row r="56">
      <c r="A56" s="18"/>
      <c r="B56" s="17"/>
      <c r="C56" s="17"/>
      <c r="D56" s="17"/>
      <c r="E56" s="17"/>
      <c r="F56" s="17"/>
      <c r="G56" s="17"/>
      <c r="M56" s="16"/>
      <c r="N56" s="16"/>
      <c r="O56" s="16"/>
      <c r="P56" s="16"/>
      <c r="Q56" s="16"/>
      <c r="R56" s="16"/>
    </row>
    <row r="57">
      <c r="A57" s="18"/>
      <c r="B57" s="16"/>
      <c r="C57" s="16"/>
      <c r="D57" s="16"/>
      <c r="E57" s="16"/>
      <c r="F57" s="16"/>
      <c r="G57" s="16"/>
      <c r="M57" s="16"/>
      <c r="N57" s="16"/>
      <c r="O57" s="16"/>
      <c r="P57" s="16"/>
      <c r="Q57" s="16"/>
      <c r="R57" s="16"/>
    </row>
    <row r="58">
      <c r="A58" s="18"/>
      <c r="B58" s="16"/>
      <c r="C58" s="16"/>
      <c r="D58" s="16"/>
      <c r="E58" s="16"/>
      <c r="F58" s="16"/>
      <c r="G58" s="16"/>
      <c r="M58" s="16"/>
      <c r="N58" s="16"/>
      <c r="O58" s="16"/>
      <c r="P58" s="16"/>
      <c r="Q58" s="16"/>
      <c r="R58" s="16"/>
    </row>
    <row r="59">
      <c r="A59" s="18"/>
      <c r="B59" s="16"/>
      <c r="C59" s="16"/>
      <c r="D59" s="16"/>
      <c r="E59" s="16"/>
      <c r="F59" s="16"/>
      <c r="G59" s="16"/>
      <c r="M59" s="16"/>
      <c r="N59" s="16"/>
      <c r="O59" s="16"/>
      <c r="P59" s="16"/>
      <c r="Q59" s="16"/>
      <c r="R59" s="16"/>
    </row>
    <row r="60">
      <c r="A60" s="18"/>
      <c r="B60" s="16"/>
      <c r="C60" s="16"/>
      <c r="D60" s="16"/>
      <c r="E60" s="16"/>
      <c r="F60" s="16"/>
      <c r="G60" s="16"/>
      <c r="M60" s="16"/>
      <c r="N60" s="16"/>
      <c r="O60" s="16"/>
      <c r="P60" s="16"/>
      <c r="Q60" s="16"/>
      <c r="R60" s="16"/>
    </row>
    <row r="61">
      <c r="A61" s="18"/>
      <c r="B61" s="16"/>
      <c r="C61" s="16"/>
      <c r="D61" s="16"/>
      <c r="E61" s="16"/>
      <c r="F61" s="16"/>
      <c r="G61" s="16"/>
      <c r="M61" s="16"/>
      <c r="N61" s="16"/>
      <c r="O61" s="16"/>
      <c r="P61" s="16"/>
      <c r="Q61" s="16"/>
      <c r="R61" s="16"/>
    </row>
    <row r="62">
      <c r="A62" s="18"/>
      <c r="B62" s="16"/>
      <c r="C62" s="16"/>
      <c r="D62" s="16"/>
      <c r="E62" s="16"/>
      <c r="F62" s="16"/>
      <c r="G62" s="16"/>
      <c r="M62" s="16"/>
      <c r="N62" s="16"/>
      <c r="O62" s="16"/>
      <c r="P62" s="16"/>
      <c r="Q62" s="16"/>
      <c r="R62" s="16"/>
    </row>
    <row r="63">
      <c r="A63" s="18"/>
      <c r="B63" s="16"/>
      <c r="C63" s="16"/>
      <c r="D63" s="16"/>
      <c r="E63" s="16"/>
      <c r="F63" s="16"/>
      <c r="G63" s="16"/>
      <c r="M63" s="16"/>
      <c r="N63" s="16"/>
      <c r="O63" s="16"/>
      <c r="P63" s="16"/>
      <c r="Q63" s="16"/>
      <c r="R63" s="16"/>
    </row>
    <row r="64">
      <c r="A64" s="18"/>
      <c r="B64" s="16"/>
      <c r="C64" s="16"/>
      <c r="D64" s="16"/>
      <c r="E64" s="16"/>
      <c r="F64" s="16"/>
      <c r="G64" s="16"/>
      <c r="M64" s="16"/>
      <c r="N64" s="16"/>
      <c r="O64" s="16"/>
      <c r="P64" s="16"/>
      <c r="Q64" s="16"/>
      <c r="R64" s="16"/>
    </row>
    <row r="65">
      <c r="A65" s="18"/>
      <c r="B65" s="16"/>
      <c r="C65" s="16"/>
      <c r="D65" s="16"/>
      <c r="E65" s="16"/>
      <c r="F65" s="16"/>
      <c r="G65" s="16"/>
      <c r="M65" s="16"/>
      <c r="N65" s="16"/>
      <c r="O65" s="16"/>
      <c r="P65" s="16"/>
      <c r="Q65" s="16"/>
      <c r="R65" s="16"/>
    </row>
    <row r="66">
      <c r="A66" s="18"/>
      <c r="B66" s="16"/>
      <c r="C66" s="16"/>
      <c r="D66" s="16"/>
      <c r="E66" s="16"/>
      <c r="F66" s="16"/>
      <c r="G66" s="16"/>
      <c r="M66" s="16"/>
      <c r="N66" s="16"/>
      <c r="O66" s="16"/>
      <c r="P66" s="16"/>
      <c r="Q66" s="16"/>
      <c r="R66" s="16"/>
    </row>
    <row r="67">
      <c r="A67" s="18"/>
      <c r="B67" s="16"/>
      <c r="C67" s="16"/>
      <c r="D67" s="16"/>
      <c r="E67" s="16"/>
      <c r="F67" s="16"/>
      <c r="G67" s="16"/>
      <c r="M67" s="16"/>
      <c r="N67" s="16"/>
      <c r="O67" s="16"/>
      <c r="P67" s="16"/>
      <c r="Q67" s="16"/>
      <c r="R67" s="16"/>
    </row>
    <row r="68">
      <c r="A68" s="18"/>
      <c r="B68" s="16"/>
      <c r="C68" s="16"/>
      <c r="D68" s="16"/>
      <c r="E68" s="16"/>
      <c r="F68" s="16"/>
      <c r="G68" s="16"/>
      <c r="M68" s="16"/>
      <c r="N68" s="16"/>
      <c r="O68" s="16"/>
      <c r="P68" s="16"/>
      <c r="Q68" s="16"/>
      <c r="R68" s="16"/>
    </row>
    <row r="69">
      <c r="A69" s="18"/>
      <c r="B69" s="16"/>
      <c r="C69" s="16"/>
      <c r="D69" s="16"/>
      <c r="E69" s="16"/>
      <c r="F69" s="16"/>
      <c r="G69" s="16"/>
      <c r="M69" s="16"/>
      <c r="N69" s="16"/>
      <c r="O69" s="16"/>
      <c r="P69" s="16"/>
      <c r="Q69" s="16"/>
      <c r="R69" s="16"/>
    </row>
    <row r="70">
      <c r="A70" s="18"/>
      <c r="B70" s="16"/>
      <c r="C70" s="16"/>
      <c r="D70" s="16"/>
      <c r="E70" s="16"/>
      <c r="F70" s="16"/>
      <c r="G70" s="16"/>
      <c r="M70" s="16"/>
      <c r="N70" s="16"/>
      <c r="O70" s="16"/>
      <c r="P70" s="16"/>
      <c r="Q70" s="16"/>
      <c r="R70" s="16"/>
    </row>
    <row r="71">
      <c r="A71" s="18"/>
      <c r="B71" s="16"/>
      <c r="C71" s="16"/>
      <c r="D71" s="16"/>
      <c r="E71" s="16"/>
      <c r="F71" s="16"/>
      <c r="G71" s="16"/>
      <c r="M71" s="16"/>
      <c r="N71" s="16"/>
      <c r="O71" s="16"/>
      <c r="P71" s="16"/>
      <c r="Q71" s="16"/>
      <c r="R71" s="16"/>
    </row>
    <row r="72">
      <c r="A72" s="18"/>
      <c r="B72" s="16"/>
      <c r="C72" s="16"/>
      <c r="D72" s="16"/>
      <c r="E72" s="16"/>
      <c r="F72" s="16"/>
      <c r="G72" s="16"/>
      <c r="M72" s="16"/>
      <c r="N72" s="16"/>
      <c r="O72" s="16"/>
      <c r="P72" s="16"/>
      <c r="Q72" s="16"/>
      <c r="R72" s="16"/>
    </row>
    <row r="73">
      <c r="A73" s="18"/>
      <c r="B73" s="16"/>
      <c r="C73" s="16"/>
      <c r="D73" s="16"/>
      <c r="E73" s="16"/>
      <c r="F73" s="16"/>
      <c r="G73" s="16"/>
      <c r="M73" s="16"/>
      <c r="N73" s="16"/>
      <c r="O73" s="16"/>
      <c r="P73" s="16"/>
      <c r="Q73" s="16"/>
      <c r="R73" s="16"/>
    </row>
    <row r="74">
      <c r="A74" s="18"/>
      <c r="B74" s="16"/>
      <c r="C74" s="16"/>
      <c r="D74" s="16"/>
      <c r="E74" s="16"/>
      <c r="F74" s="16"/>
      <c r="G74" s="16"/>
      <c r="M74" s="16"/>
      <c r="N74" s="16"/>
      <c r="O74" s="16"/>
      <c r="P74" s="16"/>
      <c r="Q74" s="16"/>
      <c r="R74" s="16"/>
    </row>
    <row r="75">
      <c r="A75" s="18"/>
      <c r="B75" s="16"/>
      <c r="C75" s="16"/>
      <c r="D75" s="16"/>
      <c r="E75" s="16"/>
      <c r="F75" s="16"/>
      <c r="G75" s="16"/>
      <c r="M75" s="16"/>
      <c r="N75" s="16"/>
      <c r="O75" s="16"/>
      <c r="P75" s="16"/>
      <c r="Q75" s="16"/>
      <c r="R75" s="16"/>
    </row>
    <row r="76">
      <c r="A76" s="18"/>
      <c r="B76" s="16"/>
      <c r="C76" s="16"/>
      <c r="D76" s="16"/>
      <c r="E76" s="16"/>
      <c r="F76" s="16"/>
      <c r="G76" s="16"/>
      <c r="M76" s="16"/>
      <c r="N76" s="16"/>
      <c r="O76" s="16"/>
      <c r="P76" s="16"/>
      <c r="Q76" s="16"/>
      <c r="R76" s="16"/>
    </row>
    <row r="77">
      <c r="A77" s="18"/>
      <c r="B77" s="16"/>
      <c r="C77" s="16"/>
      <c r="D77" s="16"/>
      <c r="E77" s="16"/>
      <c r="F77" s="16"/>
      <c r="G77" s="16"/>
      <c r="M77" s="16"/>
      <c r="N77" s="16"/>
      <c r="O77" s="16"/>
      <c r="P77" s="16"/>
      <c r="Q77" s="16"/>
      <c r="R77" s="16"/>
    </row>
    <row r="78">
      <c r="A78" s="18"/>
      <c r="B78" s="16"/>
      <c r="C78" s="16"/>
      <c r="D78" s="16"/>
      <c r="E78" s="16"/>
      <c r="F78" s="16"/>
      <c r="G78" s="16"/>
      <c r="M78" s="16"/>
      <c r="N78" s="16"/>
      <c r="O78" s="16"/>
      <c r="P78" s="16"/>
      <c r="Q78" s="16"/>
      <c r="R78" s="16"/>
    </row>
    <row r="79">
      <c r="A79" s="18"/>
      <c r="B79" s="16"/>
      <c r="C79" s="16"/>
      <c r="D79" s="16"/>
      <c r="E79" s="16"/>
      <c r="F79" s="16"/>
      <c r="G79" s="16"/>
      <c r="M79" s="16"/>
      <c r="N79" s="16"/>
      <c r="O79" s="16"/>
      <c r="P79" s="16"/>
      <c r="Q79" s="16"/>
      <c r="R79" s="16"/>
    </row>
    <row r="80">
      <c r="A80" s="18"/>
      <c r="B80" s="16"/>
      <c r="C80" s="16"/>
      <c r="D80" s="16"/>
      <c r="E80" s="16"/>
      <c r="F80" s="16"/>
      <c r="G80" s="16"/>
      <c r="M80" s="16"/>
      <c r="N80" s="16"/>
      <c r="O80" s="16"/>
      <c r="P80" s="16"/>
      <c r="Q80" s="16"/>
      <c r="R80" s="16"/>
    </row>
    <row r="81">
      <c r="A81" s="18"/>
      <c r="B81" s="16"/>
      <c r="C81" s="16"/>
      <c r="D81" s="16"/>
      <c r="E81" s="16"/>
      <c r="F81" s="16"/>
      <c r="G81" s="16"/>
      <c r="M81" s="16"/>
      <c r="N81" s="16"/>
      <c r="O81" s="16"/>
      <c r="P81" s="16"/>
      <c r="Q81" s="16"/>
      <c r="R81" s="16"/>
    </row>
    <row r="82">
      <c r="A82" s="18"/>
      <c r="B82" s="16"/>
      <c r="C82" s="16"/>
      <c r="D82" s="16"/>
      <c r="E82" s="16"/>
      <c r="F82" s="16"/>
      <c r="G82" s="16"/>
      <c r="M82" s="16"/>
      <c r="N82" s="16"/>
      <c r="O82" s="16"/>
      <c r="P82" s="16"/>
      <c r="Q82" s="16"/>
      <c r="R82" s="16"/>
    </row>
    <row r="83">
      <c r="A83" s="18"/>
      <c r="B83" s="16"/>
      <c r="C83" s="16"/>
      <c r="D83" s="16"/>
      <c r="E83" s="16"/>
      <c r="F83" s="16"/>
      <c r="G83" s="16"/>
      <c r="M83" s="16"/>
      <c r="N83" s="16"/>
      <c r="O83" s="16"/>
      <c r="P83" s="16"/>
      <c r="Q83" s="16"/>
      <c r="R83" s="16"/>
    </row>
    <row r="84">
      <c r="A84" s="18"/>
      <c r="B84" s="16"/>
      <c r="C84" s="16"/>
      <c r="D84" s="16"/>
      <c r="E84" s="16"/>
      <c r="F84" s="16"/>
      <c r="G84" s="16"/>
      <c r="M84" s="16"/>
      <c r="N84" s="16"/>
      <c r="O84" s="16"/>
      <c r="P84" s="16"/>
      <c r="Q84" s="16"/>
      <c r="R84" s="16"/>
    </row>
    <row r="85">
      <c r="A85" s="18"/>
      <c r="B85" s="16"/>
      <c r="C85" s="16"/>
      <c r="D85" s="16"/>
      <c r="E85" s="16"/>
      <c r="F85" s="16"/>
      <c r="G85" s="16"/>
      <c r="M85" s="16"/>
      <c r="N85" s="16"/>
      <c r="O85" s="16"/>
      <c r="P85" s="16"/>
      <c r="Q85" s="16"/>
      <c r="R85" s="16"/>
    </row>
    <row r="86">
      <c r="A86" s="18"/>
      <c r="B86" s="16"/>
      <c r="C86" s="16"/>
      <c r="D86" s="16"/>
      <c r="E86" s="16"/>
      <c r="F86" s="16"/>
      <c r="G86" s="16"/>
      <c r="M86" s="16"/>
      <c r="N86" s="16"/>
      <c r="O86" s="16"/>
      <c r="P86" s="16"/>
      <c r="Q86" s="16"/>
      <c r="R86" s="16"/>
    </row>
    <row r="87">
      <c r="A87" s="18"/>
      <c r="B87" s="16"/>
      <c r="C87" s="16"/>
      <c r="D87" s="16"/>
      <c r="E87" s="16"/>
      <c r="F87" s="16"/>
      <c r="G87" s="16"/>
      <c r="M87" s="16"/>
      <c r="N87" s="16"/>
      <c r="O87" s="16"/>
      <c r="P87" s="16"/>
      <c r="Q87" s="16"/>
      <c r="R87" s="16"/>
    </row>
    <row r="88">
      <c r="A88" s="18"/>
      <c r="B88" s="16"/>
      <c r="C88" s="16"/>
      <c r="D88" s="16"/>
      <c r="E88" s="16"/>
      <c r="F88" s="16"/>
      <c r="G88" s="16"/>
      <c r="M88" s="17"/>
      <c r="N88" s="17"/>
      <c r="O88" s="16"/>
      <c r="P88" s="16"/>
      <c r="Q88" s="16"/>
      <c r="R88" s="16"/>
    </row>
    <row r="89">
      <c r="A89" s="18"/>
      <c r="B89" s="16"/>
      <c r="C89" s="16"/>
      <c r="D89" s="16"/>
      <c r="E89" s="16"/>
      <c r="F89" s="16"/>
      <c r="G89" s="16"/>
      <c r="M89" s="16"/>
      <c r="N89" s="16"/>
      <c r="O89" s="16"/>
      <c r="P89" s="16"/>
      <c r="Q89" s="16"/>
      <c r="R89" s="16"/>
    </row>
    <row r="90">
      <c r="A90" s="18"/>
      <c r="B90" s="16"/>
      <c r="C90" s="16"/>
      <c r="D90" s="16"/>
      <c r="E90" s="16"/>
      <c r="F90" s="16"/>
      <c r="G90" s="16"/>
      <c r="M90" s="16"/>
      <c r="N90" s="16"/>
      <c r="O90" s="16"/>
      <c r="P90" s="16"/>
      <c r="Q90" s="16"/>
      <c r="R90" s="16"/>
    </row>
    <row r="91">
      <c r="A91" s="18"/>
      <c r="B91" s="16"/>
      <c r="C91" s="16"/>
      <c r="D91" s="16"/>
      <c r="E91" s="16"/>
      <c r="F91" s="16"/>
      <c r="G91" s="16"/>
      <c r="M91" s="16"/>
      <c r="N91" s="16"/>
      <c r="O91" s="16"/>
      <c r="P91" s="16"/>
      <c r="Q91" s="16"/>
      <c r="R91" s="16"/>
    </row>
    <row r="92">
      <c r="A92" s="18"/>
      <c r="B92" s="16"/>
      <c r="C92" s="16"/>
      <c r="D92" s="16"/>
      <c r="E92" s="16"/>
      <c r="F92" s="16"/>
      <c r="G92" s="16"/>
      <c r="M92" s="16"/>
      <c r="N92" s="16"/>
      <c r="O92" s="17"/>
      <c r="P92" s="16"/>
      <c r="Q92" s="16"/>
      <c r="R92" s="16"/>
    </row>
    <row r="93">
      <c r="A93" s="18"/>
      <c r="B93" s="17"/>
      <c r="C93" s="17"/>
      <c r="D93" s="16"/>
      <c r="E93" s="16"/>
      <c r="F93" s="16"/>
      <c r="G93" s="16"/>
      <c r="M93" s="16"/>
      <c r="N93" s="16"/>
      <c r="O93" s="17"/>
      <c r="P93" s="16"/>
      <c r="Q93" s="16"/>
      <c r="R93" s="16"/>
    </row>
    <row r="94">
      <c r="A94" s="18"/>
      <c r="B94" s="16"/>
      <c r="C94" s="16"/>
      <c r="D94" s="16"/>
      <c r="E94" s="16"/>
      <c r="F94" s="16"/>
      <c r="G94" s="16"/>
      <c r="M94" s="17"/>
      <c r="N94" s="17"/>
      <c r="O94" s="17"/>
      <c r="P94" s="17"/>
      <c r="Q94" s="17"/>
      <c r="R94" s="17"/>
    </row>
    <row r="95">
      <c r="A95" s="18"/>
      <c r="B95" s="16"/>
      <c r="C95" s="16"/>
      <c r="D95" s="16"/>
      <c r="E95" s="16"/>
      <c r="F95" s="16"/>
      <c r="G95" s="16"/>
      <c r="M95" s="17"/>
      <c r="N95" s="17"/>
      <c r="O95" s="17"/>
      <c r="P95" s="17"/>
      <c r="Q95" s="17"/>
      <c r="R95" s="17"/>
    </row>
    <row r="96">
      <c r="A96" s="18"/>
      <c r="B96" s="16"/>
      <c r="C96" s="16"/>
      <c r="D96" s="16"/>
      <c r="E96" s="16"/>
      <c r="F96" s="16"/>
      <c r="G96" s="16"/>
      <c r="M96" s="17"/>
      <c r="N96" s="17"/>
      <c r="O96" s="17"/>
      <c r="P96" s="17"/>
      <c r="Q96" s="17"/>
      <c r="R96" s="17"/>
    </row>
    <row r="97">
      <c r="A97" s="18"/>
      <c r="B97" s="16"/>
      <c r="C97" s="16"/>
      <c r="D97" s="17"/>
      <c r="E97" s="16"/>
      <c r="F97" s="16"/>
      <c r="G97" s="16"/>
      <c r="M97" s="17"/>
      <c r="N97" s="17"/>
      <c r="O97" s="17"/>
      <c r="P97" s="17"/>
      <c r="Q97" s="17"/>
      <c r="R97" s="17"/>
    </row>
    <row r="98">
      <c r="A98" s="18"/>
      <c r="B98" s="16"/>
      <c r="C98" s="16"/>
      <c r="D98" s="17"/>
      <c r="E98" s="16"/>
      <c r="F98" s="16"/>
      <c r="G98" s="16"/>
      <c r="M98" s="17"/>
      <c r="N98" s="17"/>
      <c r="O98" s="17"/>
      <c r="P98" s="17"/>
      <c r="Q98" s="17"/>
      <c r="R98" s="17"/>
    </row>
    <row r="99">
      <c r="A99" s="18"/>
      <c r="B99" s="17"/>
      <c r="C99" s="17"/>
      <c r="D99" s="17"/>
      <c r="E99" s="17"/>
      <c r="F99" s="17"/>
      <c r="G99" s="17"/>
      <c r="M99" s="17"/>
      <c r="N99" s="17"/>
      <c r="O99" s="17"/>
      <c r="P99" s="17"/>
      <c r="Q99" s="17"/>
      <c r="R99" s="17"/>
    </row>
    <row r="100">
      <c r="A100" s="18"/>
      <c r="B100" s="17"/>
      <c r="C100" s="17"/>
      <c r="D100" s="17"/>
      <c r="E100" s="17"/>
      <c r="F100" s="17"/>
      <c r="G100" s="17"/>
      <c r="M100" s="17"/>
      <c r="N100" s="17"/>
      <c r="O100" s="17"/>
      <c r="P100" s="17"/>
      <c r="Q100" s="17"/>
      <c r="R100" s="17"/>
    </row>
    <row r="101">
      <c r="A101" s="18"/>
      <c r="B101" s="17"/>
      <c r="C101" s="17"/>
      <c r="D101" s="17"/>
      <c r="E101" s="17"/>
      <c r="F101" s="17"/>
      <c r="G101" s="17"/>
      <c r="M101" s="17"/>
      <c r="N101" s="17"/>
      <c r="O101" s="17"/>
      <c r="P101" s="17"/>
      <c r="Q101" s="17"/>
      <c r="R101" s="17"/>
    </row>
    <row r="102">
      <c r="A102" s="18"/>
      <c r="B102" s="17"/>
      <c r="C102" s="17"/>
      <c r="D102" s="17"/>
      <c r="E102" s="17"/>
      <c r="F102" s="17"/>
      <c r="G102" s="17"/>
      <c r="M102" s="17"/>
      <c r="N102" s="17"/>
      <c r="O102" s="17"/>
      <c r="P102" s="17"/>
      <c r="Q102" s="17"/>
      <c r="R102" s="17"/>
    </row>
    <row r="103">
      <c r="A103" s="18"/>
      <c r="B103" s="17"/>
      <c r="C103" s="17"/>
      <c r="D103" s="17"/>
      <c r="E103" s="17"/>
      <c r="F103" s="17"/>
      <c r="G103" s="17"/>
      <c r="M103" s="17"/>
      <c r="N103" s="17"/>
      <c r="O103" s="17"/>
      <c r="P103" s="17"/>
      <c r="Q103" s="17"/>
      <c r="R103" s="17"/>
    </row>
    <row r="104">
      <c r="A104" s="18"/>
      <c r="B104" s="17"/>
      <c r="C104" s="17"/>
      <c r="D104" s="17"/>
      <c r="E104" s="17"/>
      <c r="F104" s="17"/>
      <c r="G104" s="17"/>
      <c r="M104" s="17"/>
      <c r="N104" s="17"/>
      <c r="O104" s="17"/>
      <c r="P104" s="17"/>
      <c r="Q104" s="17"/>
      <c r="R104" s="17"/>
    </row>
    <row r="105">
      <c r="A105" s="18"/>
      <c r="B105" s="17"/>
      <c r="C105" s="17"/>
      <c r="D105" s="17"/>
      <c r="E105" s="17"/>
      <c r="F105" s="17"/>
      <c r="G105" s="17"/>
      <c r="M105" s="17"/>
      <c r="N105" s="17"/>
      <c r="O105" s="17"/>
      <c r="P105" s="17"/>
      <c r="Q105" s="17"/>
      <c r="R105" s="17"/>
    </row>
    <row r="106">
      <c r="A106" s="18"/>
      <c r="B106" s="17"/>
      <c r="C106" s="17"/>
      <c r="D106" s="17"/>
      <c r="E106" s="17"/>
      <c r="F106" s="17"/>
      <c r="G106" s="17"/>
      <c r="M106" s="17"/>
      <c r="N106" s="17"/>
      <c r="O106" s="17"/>
      <c r="P106" s="17"/>
      <c r="Q106" s="17"/>
      <c r="R106" s="17"/>
    </row>
    <row r="107">
      <c r="A107" s="18"/>
      <c r="B107" s="17"/>
      <c r="C107" s="17"/>
      <c r="D107" s="17"/>
      <c r="E107" s="17"/>
      <c r="F107" s="17"/>
      <c r="G107" s="17"/>
      <c r="M107" s="17"/>
      <c r="N107" s="17"/>
      <c r="O107" s="17"/>
      <c r="P107" s="17"/>
      <c r="Q107" s="17"/>
      <c r="R107" s="17"/>
    </row>
    <row r="108">
      <c r="A108" s="18"/>
      <c r="B108" s="17"/>
      <c r="C108" s="17"/>
      <c r="D108" s="17"/>
      <c r="E108" s="17"/>
      <c r="F108" s="17"/>
      <c r="G108" s="17"/>
      <c r="M108" s="17"/>
      <c r="N108" s="17"/>
      <c r="O108" s="17"/>
      <c r="P108" s="17"/>
      <c r="Q108" s="17"/>
      <c r="R108" s="17"/>
    </row>
    <row r="109">
      <c r="A109" s="18"/>
      <c r="B109" s="17"/>
      <c r="C109" s="17"/>
      <c r="D109" s="17"/>
      <c r="E109" s="17"/>
      <c r="F109" s="17"/>
      <c r="G109" s="17"/>
      <c r="M109" s="17"/>
      <c r="N109" s="17"/>
      <c r="O109" s="17"/>
      <c r="P109" s="17"/>
      <c r="Q109" s="17"/>
      <c r="R109" s="17"/>
    </row>
    <row r="110">
      <c r="A110" s="18"/>
      <c r="B110" s="17"/>
      <c r="C110" s="17"/>
      <c r="D110" s="17"/>
      <c r="E110" s="17"/>
      <c r="F110" s="17"/>
      <c r="G110" s="17"/>
      <c r="M110" s="17"/>
      <c r="N110" s="17"/>
      <c r="O110" s="17"/>
      <c r="P110" s="17"/>
      <c r="Q110" s="17"/>
      <c r="R110" s="17"/>
    </row>
    <row r="111">
      <c r="A111" s="18"/>
      <c r="B111" s="17"/>
      <c r="C111" s="17"/>
      <c r="D111" s="17"/>
      <c r="E111" s="17"/>
      <c r="F111" s="17"/>
      <c r="G111" s="17"/>
      <c r="M111" s="17"/>
      <c r="N111" s="17"/>
      <c r="O111" s="17"/>
      <c r="P111" s="17"/>
      <c r="Q111" s="17"/>
      <c r="R111" s="17"/>
    </row>
    <row r="112">
      <c r="A112" s="18"/>
      <c r="B112" s="17"/>
      <c r="C112" s="17"/>
      <c r="D112" s="17"/>
      <c r="E112" s="17"/>
      <c r="F112" s="17"/>
      <c r="G112" s="17"/>
      <c r="M112" s="17"/>
      <c r="N112" s="17"/>
      <c r="O112" s="17"/>
      <c r="P112" s="17"/>
      <c r="Q112" s="17"/>
      <c r="R112" s="17"/>
    </row>
    <row r="113">
      <c r="A113" s="18"/>
      <c r="B113" s="17"/>
      <c r="C113" s="17"/>
      <c r="D113" s="17"/>
      <c r="E113" s="17"/>
      <c r="F113" s="17"/>
      <c r="G113" s="17"/>
      <c r="M113" s="17"/>
      <c r="N113" s="17"/>
      <c r="O113" s="17"/>
      <c r="P113" s="17"/>
      <c r="Q113" s="17"/>
      <c r="R113" s="17"/>
    </row>
    <row r="114">
      <c r="A114" s="18"/>
      <c r="B114" s="17"/>
      <c r="C114" s="17"/>
      <c r="D114" s="17"/>
      <c r="E114" s="17"/>
      <c r="F114" s="17"/>
      <c r="G114" s="17"/>
      <c r="M114" s="17"/>
      <c r="N114" s="17"/>
      <c r="O114" s="17"/>
      <c r="P114" s="17"/>
      <c r="Q114" s="17"/>
      <c r="R114" s="17"/>
    </row>
    <row r="115">
      <c r="A115" s="18"/>
      <c r="B115" s="17"/>
      <c r="C115" s="17"/>
      <c r="D115" s="17"/>
      <c r="E115" s="17"/>
      <c r="F115" s="17"/>
      <c r="G115" s="17"/>
      <c r="M115" s="17"/>
      <c r="N115" s="17"/>
      <c r="O115" s="17"/>
      <c r="P115" s="17"/>
      <c r="Q115" s="17"/>
      <c r="R115" s="17"/>
    </row>
    <row r="116">
      <c r="A116" s="18"/>
      <c r="B116" s="17"/>
      <c r="C116" s="17"/>
      <c r="D116" s="17"/>
      <c r="E116" s="17"/>
      <c r="F116" s="17"/>
      <c r="G116" s="17"/>
      <c r="M116" s="17"/>
      <c r="N116" s="17"/>
      <c r="O116" s="17"/>
      <c r="P116" s="17"/>
      <c r="Q116" s="17"/>
      <c r="R116" s="17"/>
    </row>
    <row r="117">
      <c r="A117" s="18"/>
      <c r="B117" s="17"/>
      <c r="C117" s="17"/>
      <c r="D117" s="17"/>
      <c r="E117" s="17"/>
      <c r="F117" s="17"/>
      <c r="G117" s="17"/>
      <c r="M117" s="17"/>
      <c r="N117" s="17"/>
      <c r="O117" s="17"/>
      <c r="P117" s="17"/>
      <c r="Q117" s="17"/>
      <c r="R117" s="17"/>
    </row>
    <row r="118">
      <c r="A118" s="18"/>
      <c r="B118" s="17"/>
      <c r="C118" s="17"/>
      <c r="D118" s="17"/>
      <c r="E118" s="17"/>
      <c r="F118" s="17"/>
      <c r="G118" s="17"/>
      <c r="M118" s="17"/>
      <c r="N118" s="17"/>
      <c r="O118" s="17"/>
      <c r="P118" s="17"/>
      <c r="Q118" s="17"/>
      <c r="R118" s="17"/>
    </row>
    <row r="119">
      <c r="A119" s="18"/>
      <c r="B119" s="17"/>
      <c r="C119" s="17"/>
      <c r="D119" s="17"/>
      <c r="E119" s="17"/>
      <c r="F119" s="17"/>
      <c r="G119" s="17"/>
      <c r="M119" s="17"/>
      <c r="N119" s="17"/>
      <c r="O119" s="17"/>
      <c r="P119" s="17"/>
      <c r="Q119" s="17"/>
      <c r="R119" s="17"/>
    </row>
    <row r="120">
      <c r="A120" s="18"/>
      <c r="B120" s="17"/>
      <c r="C120" s="17"/>
      <c r="D120" s="17"/>
      <c r="E120" s="17"/>
      <c r="F120" s="17"/>
      <c r="G120" s="17"/>
      <c r="M120" s="17"/>
      <c r="N120" s="17"/>
      <c r="O120" s="17"/>
      <c r="P120" s="17"/>
      <c r="Q120" s="17"/>
      <c r="R120" s="17"/>
    </row>
    <row r="121">
      <c r="A121" s="18"/>
      <c r="B121" s="17"/>
      <c r="C121" s="17"/>
      <c r="D121" s="17"/>
      <c r="E121" s="17"/>
      <c r="F121" s="17"/>
      <c r="G121" s="17"/>
      <c r="M121" s="17"/>
      <c r="N121" s="17"/>
      <c r="O121" s="17"/>
      <c r="P121" s="17"/>
      <c r="Q121" s="17"/>
      <c r="R121" s="17"/>
    </row>
    <row r="122">
      <c r="A122" s="18"/>
      <c r="B122" s="17"/>
      <c r="C122" s="17"/>
      <c r="D122" s="17"/>
      <c r="E122" s="17"/>
      <c r="F122" s="17"/>
      <c r="G122" s="17"/>
      <c r="M122" s="17"/>
      <c r="N122" s="17"/>
      <c r="O122" s="17"/>
      <c r="P122" s="17"/>
      <c r="Q122" s="17"/>
      <c r="R122" s="17"/>
    </row>
    <row r="123">
      <c r="A123" s="18"/>
      <c r="B123" s="17"/>
      <c r="C123" s="17"/>
      <c r="D123" s="17"/>
      <c r="E123" s="17"/>
      <c r="F123" s="17"/>
      <c r="G123" s="17"/>
      <c r="M123" s="17"/>
      <c r="N123" s="17"/>
      <c r="O123" s="17"/>
      <c r="P123" s="17"/>
      <c r="Q123" s="17"/>
      <c r="R123" s="17"/>
    </row>
    <row r="124">
      <c r="A124" s="18"/>
      <c r="B124" s="17"/>
      <c r="C124" s="17"/>
      <c r="D124" s="17"/>
      <c r="E124" s="17"/>
      <c r="F124" s="17"/>
      <c r="G124" s="17"/>
      <c r="M124" s="17"/>
      <c r="N124" s="17"/>
      <c r="O124" s="17"/>
      <c r="P124" s="17"/>
      <c r="Q124" s="17"/>
      <c r="R124" s="17"/>
    </row>
    <row r="125">
      <c r="A125" s="18"/>
      <c r="B125" s="17"/>
      <c r="C125" s="17"/>
      <c r="D125" s="17"/>
      <c r="E125" s="17"/>
      <c r="F125" s="17"/>
      <c r="G125" s="17"/>
      <c r="M125" s="17"/>
      <c r="N125" s="17"/>
      <c r="O125" s="17"/>
      <c r="P125" s="17"/>
      <c r="Q125" s="17"/>
      <c r="R125" s="17"/>
    </row>
    <row r="126">
      <c r="A126" s="18"/>
      <c r="B126" s="17"/>
      <c r="C126" s="17"/>
      <c r="D126" s="17"/>
      <c r="E126" s="17"/>
      <c r="F126" s="17"/>
      <c r="G126" s="17"/>
      <c r="M126" s="17"/>
      <c r="N126" s="17"/>
      <c r="O126" s="17"/>
      <c r="P126" s="17"/>
      <c r="Q126" s="17"/>
      <c r="R126" s="17"/>
    </row>
    <row r="127">
      <c r="A127" s="18"/>
      <c r="B127" s="17"/>
      <c r="C127" s="17"/>
      <c r="D127" s="17"/>
      <c r="E127" s="17"/>
      <c r="F127" s="17"/>
      <c r="G127" s="17"/>
      <c r="M127" s="17"/>
      <c r="N127" s="17"/>
      <c r="O127" s="17"/>
      <c r="P127" s="17"/>
      <c r="Q127" s="17"/>
      <c r="R127" s="17"/>
    </row>
    <row r="128">
      <c r="A128" s="18"/>
      <c r="B128" s="17"/>
      <c r="C128" s="17"/>
      <c r="D128" s="17"/>
      <c r="E128" s="17"/>
      <c r="F128" s="17"/>
      <c r="G128" s="17"/>
      <c r="M128" s="17"/>
      <c r="N128" s="17"/>
      <c r="O128" s="17"/>
      <c r="P128" s="17"/>
      <c r="Q128" s="17"/>
      <c r="R128" s="17"/>
    </row>
    <row r="129">
      <c r="A129" s="18"/>
      <c r="B129" s="17"/>
      <c r="C129" s="17"/>
      <c r="D129" s="17"/>
      <c r="E129" s="17"/>
      <c r="F129" s="17"/>
      <c r="G129" s="17"/>
      <c r="M129" s="17"/>
      <c r="N129" s="17"/>
      <c r="O129" s="17"/>
      <c r="P129" s="17"/>
      <c r="Q129" s="17"/>
      <c r="R129" s="17"/>
    </row>
    <row r="130">
      <c r="A130" s="18"/>
      <c r="B130" s="17"/>
      <c r="C130" s="17"/>
      <c r="D130" s="17"/>
      <c r="E130" s="17"/>
      <c r="F130" s="17"/>
      <c r="G130" s="17"/>
      <c r="M130" s="17"/>
      <c r="N130" s="17"/>
      <c r="O130" s="17"/>
      <c r="P130" s="17"/>
      <c r="Q130" s="17"/>
      <c r="R130" s="17"/>
    </row>
    <row r="131">
      <c r="A131" s="18"/>
      <c r="B131" s="17"/>
      <c r="C131" s="17"/>
      <c r="D131" s="17"/>
      <c r="E131" s="17"/>
      <c r="F131" s="17"/>
      <c r="G131" s="17"/>
      <c r="M131" s="17"/>
      <c r="N131" s="17"/>
      <c r="O131" s="17"/>
      <c r="P131" s="17"/>
      <c r="Q131" s="17"/>
      <c r="R131" s="17"/>
    </row>
    <row r="132">
      <c r="A132" s="18"/>
      <c r="B132" s="17"/>
      <c r="C132" s="17"/>
      <c r="D132" s="17"/>
      <c r="E132" s="17"/>
      <c r="F132" s="17"/>
      <c r="G132" s="17"/>
      <c r="M132" s="17"/>
      <c r="N132" s="17"/>
      <c r="O132" s="17"/>
      <c r="P132" s="17"/>
      <c r="Q132" s="17"/>
      <c r="R132" s="17"/>
    </row>
    <row r="133">
      <c r="A133" s="18"/>
      <c r="B133" s="17"/>
      <c r="C133" s="17"/>
      <c r="D133" s="17"/>
      <c r="E133" s="17"/>
      <c r="F133" s="17"/>
      <c r="G133" s="17"/>
      <c r="M133" s="17"/>
      <c r="N133" s="17"/>
      <c r="O133" s="17"/>
      <c r="P133" s="17"/>
      <c r="Q133" s="17"/>
      <c r="R133" s="17"/>
    </row>
    <row r="134">
      <c r="A134" s="18"/>
      <c r="B134" s="17"/>
      <c r="C134" s="17"/>
      <c r="D134" s="17"/>
      <c r="E134" s="17"/>
      <c r="F134" s="17"/>
      <c r="G134" s="17"/>
      <c r="M134" s="17"/>
      <c r="N134" s="17"/>
      <c r="O134" s="17"/>
      <c r="P134" s="17"/>
      <c r="Q134" s="17"/>
      <c r="R134" s="17"/>
    </row>
    <row r="135">
      <c r="A135" s="18"/>
      <c r="B135" s="17"/>
      <c r="C135" s="17"/>
      <c r="D135" s="17"/>
      <c r="E135" s="17"/>
      <c r="F135" s="17"/>
      <c r="G135" s="17"/>
      <c r="M135" s="17"/>
      <c r="N135" s="17"/>
      <c r="O135" s="17"/>
      <c r="P135" s="17"/>
      <c r="Q135" s="17"/>
      <c r="R135" s="17"/>
    </row>
    <row r="136">
      <c r="A136" s="18"/>
      <c r="B136" s="17"/>
      <c r="C136" s="17"/>
      <c r="D136" s="17"/>
      <c r="E136" s="17"/>
      <c r="F136" s="17"/>
      <c r="G136" s="17"/>
      <c r="M136" s="17"/>
      <c r="N136" s="17"/>
      <c r="O136" s="17"/>
      <c r="P136" s="17"/>
      <c r="Q136" s="17"/>
      <c r="R136" s="17"/>
    </row>
    <row r="137">
      <c r="A137" s="18"/>
      <c r="B137" s="17"/>
      <c r="C137" s="17"/>
      <c r="D137" s="17"/>
      <c r="E137" s="17"/>
      <c r="F137" s="17"/>
      <c r="G137" s="17"/>
      <c r="M137" s="17"/>
      <c r="N137" s="17"/>
      <c r="O137" s="17"/>
      <c r="P137" s="17"/>
      <c r="Q137" s="17"/>
      <c r="R137" s="17"/>
    </row>
    <row r="138">
      <c r="A138" s="18"/>
      <c r="B138" s="17"/>
      <c r="C138" s="17"/>
      <c r="D138" s="17"/>
      <c r="E138" s="17"/>
      <c r="F138" s="17"/>
      <c r="G138" s="17"/>
      <c r="M138" s="17"/>
      <c r="N138" s="17"/>
      <c r="O138" s="17"/>
      <c r="P138" s="17"/>
      <c r="Q138" s="17"/>
      <c r="R138" s="17"/>
    </row>
    <row r="139">
      <c r="A139" s="18"/>
      <c r="B139" s="17"/>
      <c r="C139" s="17"/>
      <c r="D139" s="17"/>
      <c r="E139" s="17"/>
      <c r="F139" s="17"/>
      <c r="G139" s="17"/>
      <c r="M139" s="17"/>
      <c r="N139" s="17"/>
      <c r="O139" s="17"/>
      <c r="P139" s="17"/>
      <c r="Q139" s="17"/>
      <c r="R139" s="17"/>
    </row>
    <row r="140">
      <c r="A140" s="18"/>
      <c r="B140" s="17"/>
      <c r="C140" s="17"/>
      <c r="D140" s="17"/>
      <c r="E140" s="17"/>
      <c r="F140" s="17"/>
      <c r="G140" s="17"/>
      <c r="M140" s="17"/>
      <c r="N140" s="17"/>
      <c r="O140" s="17"/>
      <c r="P140" s="17"/>
      <c r="Q140" s="17"/>
      <c r="R140" s="17"/>
    </row>
    <row r="141">
      <c r="A141" s="18"/>
      <c r="B141" s="17"/>
      <c r="C141" s="17"/>
      <c r="D141" s="17"/>
      <c r="E141" s="17"/>
      <c r="F141" s="17"/>
      <c r="G141" s="17"/>
      <c r="M141" s="17"/>
      <c r="N141" s="17"/>
      <c r="O141" s="17"/>
      <c r="P141" s="17"/>
      <c r="Q141" s="17"/>
      <c r="R141" s="17"/>
    </row>
    <row r="142">
      <c r="A142" s="18"/>
      <c r="B142" s="17"/>
      <c r="C142" s="17"/>
      <c r="D142" s="17"/>
      <c r="E142" s="17"/>
      <c r="F142" s="17"/>
      <c r="G142" s="17"/>
      <c r="M142" s="17"/>
      <c r="N142" s="17"/>
      <c r="O142" s="17"/>
      <c r="P142" s="17"/>
      <c r="Q142" s="17"/>
      <c r="R142" s="17"/>
    </row>
    <row r="143">
      <c r="A143" s="18"/>
      <c r="B143" s="17"/>
      <c r="C143" s="17"/>
      <c r="D143" s="17"/>
      <c r="E143" s="17"/>
      <c r="F143" s="17"/>
      <c r="G143" s="17"/>
      <c r="M143" s="17"/>
      <c r="N143" s="17"/>
      <c r="O143" s="17"/>
      <c r="P143" s="17"/>
      <c r="Q143" s="17"/>
      <c r="R143" s="17"/>
    </row>
    <row r="144">
      <c r="A144" s="18"/>
      <c r="B144" s="17"/>
      <c r="C144" s="17"/>
      <c r="D144" s="17"/>
      <c r="E144" s="17"/>
      <c r="F144" s="17"/>
      <c r="G144" s="17"/>
      <c r="M144" s="17"/>
      <c r="N144" s="17"/>
      <c r="O144" s="17"/>
      <c r="P144" s="17"/>
      <c r="Q144" s="17"/>
      <c r="R144" s="17"/>
    </row>
    <row r="145">
      <c r="A145" s="18"/>
      <c r="B145" s="17"/>
      <c r="C145" s="17"/>
      <c r="D145" s="17"/>
      <c r="E145" s="17"/>
      <c r="F145" s="17"/>
      <c r="G145" s="17"/>
      <c r="M145" s="17"/>
      <c r="N145" s="17"/>
      <c r="O145" s="17"/>
      <c r="P145" s="17"/>
      <c r="Q145" s="17"/>
      <c r="R145" s="17"/>
    </row>
    <row r="146">
      <c r="A146" s="18"/>
      <c r="B146" s="17"/>
      <c r="C146" s="17"/>
      <c r="D146" s="17"/>
      <c r="E146" s="17"/>
      <c r="F146" s="17"/>
      <c r="G146" s="17"/>
      <c r="M146" s="17"/>
      <c r="N146" s="17"/>
      <c r="O146" s="17"/>
      <c r="P146" s="17"/>
      <c r="Q146" s="17"/>
      <c r="R146" s="17"/>
    </row>
    <row r="147">
      <c r="A147" s="18"/>
      <c r="B147" s="17"/>
      <c r="C147" s="17"/>
      <c r="D147" s="17"/>
      <c r="E147" s="17"/>
      <c r="F147" s="17"/>
      <c r="G147" s="17"/>
      <c r="M147" s="17"/>
      <c r="N147" s="17"/>
      <c r="O147" s="17"/>
      <c r="P147" s="17"/>
      <c r="Q147" s="17"/>
      <c r="R147" s="17"/>
    </row>
    <row r="148">
      <c r="A148" s="18"/>
      <c r="B148" s="17"/>
      <c r="C148" s="17"/>
      <c r="D148" s="17"/>
      <c r="E148" s="17"/>
      <c r="F148" s="17"/>
      <c r="G148" s="17"/>
      <c r="M148" s="17"/>
      <c r="N148" s="17"/>
      <c r="O148" s="17"/>
      <c r="P148" s="17"/>
      <c r="Q148" s="17"/>
      <c r="R148" s="17"/>
    </row>
    <row r="149">
      <c r="A149" s="18"/>
      <c r="B149" s="17"/>
      <c r="C149" s="17"/>
      <c r="D149" s="17"/>
      <c r="E149" s="17"/>
      <c r="F149" s="17"/>
      <c r="G149" s="17"/>
      <c r="M149" s="17"/>
      <c r="N149" s="17"/>
      <c r="O149" s="17"/>
      <c r="P149" s="17"/>
      <c r="Q149" s="17"/>
      <c r="R149" s="17"/>
    </row>
    <row r="150">
      <c r="A150" s="18"/>
      <c r="B150" s="17"/>
      <c r="C150" s="17"/>
      <c r="D150" s="17"/>
      <c r="E150" s="17"/>
      <c r="F150" s="17"/>
      <c r="G150" s="17"/>
      <c r="M150" s="17"/>
      <c r="N150" s="17"/>
      <c r="O150" s="17"/>
      <c r="P150" s="17"/>
      <c r="Q150" s="17"/>
      <c r="R150" s="17"/>
    </row>
    <row r="151">
      <c r="A151" s="18"/>
      <c r="B151" s="17"/>
      <c r="C151" s="17"/>
      <c r="D151" s="17"/>
      <c r="E151" s="17"/>
      <c r="F151" s="17"/>
      <c r="G151" s="17"/>
      <c r="M151" s="17"/>
      <c r="N151" s="17"/>
      <c r="O151" s="17"/>
      <c r="P151" s="17"/>
      <c r="Q151" s="17"/>
      <c r="R151" s="17"/>
    </row>
    <row r="152">
      <c r="A152" s="18"/>
      <c r="B152" s="17"/>
      <c r="C152" s="17"/>
      <c r="D152" s="17"/>
      <c r="E152" s="17"/>
      <c r="F152" s="17"/>
      <c r="G152" s="17"/>
      <c r="M152" s="17"/>
      <c r="N152" s="17"/>
      <c r="O152" s="17"/>
      <c r="P152" s="17"/>
      <c r="Q152" s="17"/>
      <c r="R152" s="17"/>
    </row>
    <row r="153">
      <c r="A153" s="18"/>
      <c r="B153" s="17"/>
      <c r="C153" s="17"/>
      <c r="D153" s="17"/>
      <c r="E153" s="17"/>
      <c r="F153" s="17"/>
      <c r="G153" s="17"/>
      <c r="M153" s="17"/>
      <c r="N153" s="17"/>
      <c r="O153" s="17"/>
      <c r="P153" s="17"/>
      <c r="Q153" s="17"/>
      <c r="R153" s="17"/>
    </row>
    <row r="154">
      <c r="A154" s="18"/>
      <c r="B154" s="17"/>
      <c r="C154" s="17"/>
      <c r="D154" s="17"/>
      <c r="E154" s="17"/>
      <c r="F154" s="17"/>
      <c r="G154" s="17"/>
      <c r="M154" s="17"/>
      <c r="N154" s="17"/>
      <c r="O154" s="17"/>
      <c r="P154" s="17"/>
      <c r="Q154" s="17"/>
      <c r="R154" s="17"/>
    </row>
    <row r="155">
      <c r="A155" s="18"/>
      <c r="B155" s="17"/>
      <c r="C155" s="17"/>
      <c r="D155" s="17"/>
      <c r="E155" s="17"/>
      <c r="F155" s="17"/>
      <c r="G155" s="17"/>
      <c r="M155" s="17"/>
      <c r="N155" s="17"/>
      <c r="O155" s="17"/>
      <c r="P155" s="17"/>
      <c r="Q155" s="17"/>
      <c r="R155" s="17"/>
    </row>
    <row r="156">
      <c r="A156" s="18"/>
      <c r="B156" s="17"/>
      <c r="C156" s="17"/>
      <c r="D156" s="17"/>
      <c r="E156" s="17"/>
      <c r="F156" s="17"/>
      <c r="G156" s="17"/>
      <c r="M156" s="17"/>
      <c r="N156" s="17"/>
      <c r="O156" s="17"/>
      <c r="P156" s="17"/>
      <c r="Q156" s="17"/>
      <c r="R156" s="17"/>
    </row>
    <row r="157">
      <c r="A157" s="18"/>
      <c r="B157" s="17"/>
      <c r="C157" s="17"/>
      <c r="D157" s="17"/>
      <c r="E157" s="17"/>
      <c r="F157" s="17"/>
      <c r="G157" s="17"/>
      <c r="M157" s="17"/>
      <c r="N157" s="17"/>
      <c r="O157" s="17"/>
      <c r="P157" s="17"/>
      <c r="Q157" s="17"/>
      <c r="R157" s="17"/>
    </row>
    <row r="158">
      <c r="A158" s="18"/>
      <c r="B158" s="17"/>
      <c r="C158" s="17"/>
      <c r="D158" s="17"/>
      <c r="E158" s="17"/>
      <c r="F158" s="17"/>
      <c r="G158" s="17"/>
      <c r="M158" s="17"/>
      <c r="N158" s="17"/>
      <c r="O158" s="17"/>
      <c r="P158" s="17"/>
      <c r="Q158" s="17"/>
      <c r="R158" s="17"/>
    </row>
    <row r="159">
      <c r="A159" s="18"/>
      <c r="B159" s="17"/>
      <c r="C159" s="17"/>
      <c r="D159" s="17"/>
      <c r="E159" s="17"/>
      <c r="F159" s="17"/>
      <c r="G159" s="17"/>
      <c r="M159" s="17"/>
      <c r="N159" s="17"/>
      <c r="O159" s="17"/>
      <c r="P159" s="17"/>
      <c r="Q159" s="17"/>
      <c r="R159" s="17"/>
    </row>
    <row r="160">
      <c r="A160" s="18"/>
      <c r="B160" s="17"/>
      <c r="C160" s="17"/>
      <c r="D160" s="17"/>
      <c r="E160" s="17"/>
      <c r="F160" s="17"/>
      <c r="G160" s="17"/>
      <c r="M160" s="17"/>
      <c r="N160" s="17"/>
      <c r="O160" s="17"/>
      <c r="P160" s="17"/>
      <c r="Q160" s="17"/>
      <c r="R160" s="17"/>
    </row>
    <row r="161">
      <c r="A161" s="18"/>
      <c r="B161" s="17"/>
      <c r="C161" s="17"/>
      <c r="D161" s="17"/>
      <c r="E161" s="17"/>
      <c r="F161" s="17"/>
      <c r="G161" s="17"/>
      <c r="M161" s="17"/>
      <c r="N161" s="17"/>
      <c r="O161" s="17"/>
      <c r="P161" s="17"/>
      <c r="Q161" s="17"/>
      <c r="R161" s="17"/>
    </row>
    <row r="162">
      <c r="A162" s="18"/>
      <c r="B162" s="17"/>
      <c r="C162" s="17"/>
      <c r="D162" s="17"/>
      <c r="E162" s="17"/>
      <c r="F162" s="17"/>
      <c r="G162" s="17"/>
      <c r="M162" s="17"/>
      <c r="N162" s="17"/>
      <c r="O162" s="17"/>
      <c r="P162" s="17"/>
      <c r="Q162" s="17"/>
      <c r="R162" s="17"/>
    </row>
    <row r="163">
      <c r="A163" s="18"/>
      <c r="B163" s="17"/>
      <c r="C163" s="17"/>
      <c r="D163" s="17"/>
      <c r="E163" s="17"/>
      <c r="F163" s="17"/>
      <c r="G163" s="17"/>
      <c r="M163" s="17"/>
      <c r="N163" s="17"/>
      <c r="O163" s="17"/>
      <c r="P163" s="17"/>
      <c r="Q163" s="17"/>
      <c r="R163" s="17"/>
    </row>
    <row r="164">
      <c r="A164" s="18"/>
      <c r="B164" s="17"/>
      <c r="C164" s="17"/>
      <c r="D164" s="17"/>
      <c r="E164" s="17"/>
      <c r="F164" s="17"/>
      <c r="G164" s="17"/>
      <c r="M164" s="17"/>
      <c r="N164" s="17"/>
      <c r="O164" s="17"/>
      <c r="P164" s="17"/>
      <c r="Q164" s="17"/>
      <c r="R164" s="17"/>
    </row>
    <row r="165">
      <c r="A165" s="18"/>
      <c r="B165" s="17"/>
      <c r="C165" s="17"/>
      <c r="D165" s="17"/>
      <c r="E165" s="17"/>
      <c r="F165" s="17"/>
      <c r="G165" s="17"/>
      <c r="M165" s="17"/>
      <c r="N165" s="17"/>
      <c r="O165" s="17"/>
      <c r="P165" s="17"/>
      <c r="Q165" s="17"/>
      <c r="R165" s="17"/>
    </row>
    <row r="166">
      <c r="A166" s="18"/>
      <c r="B166" s="17"/>
      <c r="C166" s="17"/>
      <c r="D166" s="17"/>
      <c r="E166" s="17"/>
      <c r="F166" s="17"/>
      <c r="G166" s="17"/>
      <c r="M166" s="17"/>
      <c r="N166" s="17"/>
      <c r="O166" s="17"/>
      <c r="P166" s="17"/>
      <c r="Q166" s="17"/>
      <c r="R166" s="17"/>
    </row>
    <row r="167">
      <c r="A167" s="18"/>
      <c r="B167" s="17"/>
      <c r="C167" s="17"/>
      <c r="D167" s="17"/>
      <c r="E167" s="17"/>
      <c r="F167" s="17"/>
      <c r="G167" s="17"/>
      <c r="M167" s="17"/>
      <c r="N167" s="17"/>
      <c r="O167" s="17"/>
      <c r="P167" s="17"/>
      <c r="Q167" s="17"/>
      <c r="R167" s="17"/>
    </row>
    <row r="168">
      <c r="A168" s="18"/>
      <c r="B168" s="17"/>
      <c r="C168" s="17"/>
      <c r="D168" s="17"/>
      <c r="E168" s="17"/>
      <c r="F168" s="17"/>
      <c r="G168" s="17"/>
      <c r="M168" s="17"/>
      <c r="N168" s="17"/>
      <c r="O168" s="17"/>
      <c r="P168" s="17"/>
      <c r="Q168" s="17"/>
      <c r="R168" s="17"/>
    </row>
    <row r="169">
      <c r="A169" s="18"/>
      <c r="B169" s="17"/>
      <c r="C169" s="17"/>
      <c r="D169" s="17"/>
      <c r="E169" s="17"/>
      <c r="F169" s="17"/>
      <c r="G169" s="17"/>
      <c r="M169" s="17"/>
      <c r="N169" s="17"/>
      <c r="O169" s="17"/>
      <c r="P169" s="17"/>
      <c r="Q169" s="17"/>
      <c r="R169" s="17"/>
    </row>
    <row r="170">
      <c r="A170" s="18"/>
      <c r="B170" s="17"/>
      <c r="C170" s="17"/>
      <c r="D170" s="17"/>
      <c r="E170" s="17"/>
      <c r="F170" s="17"/>
      <c r="G170" s="17"/>
      <c r="M170" s="17"/>
      <c r="N170" s="17"/>
      <c r="O170" s="17"/>
      <c r="P170" s="17"/>
      <c r="Q170" s="17"/>
      <c r="R170" s="17"/>
    </row>
    <row r="171">
      <c r="A171" s="18"/>
      <c r="B171" s="17"/>
      <c r="C171" s="17"/>
      <c r="D171" s="17"/>
      <c r="E171" s="17"/>
      <c r="F171" s="17"/>
      <c r="G171" s="17"/>
      <c r="M171" s="17"/>
      <c r="N171" s="17"/>
      <c r="O171" s="17"/>
      <c r="P171" s="17"/>
      <c r="Q171" s="17"/>
      <c r="R171" s="17"/>
    </row>
    <row r="172">
      <c r="A172" s="18"/>
      <c r="B172" s="17"/>
      <c r="C172" s="17"/>
      <c r="D172" s="17"/>
      <c r="E172" s="17"/>
      <c r="F172" s="17"/>
      <c r="G172" s="17"/>
      <c r="M172" s="17"/>
      <c r="N172" s="17"/>
      <c r="O172" s="17"/>
      <c r="P172" s="17"/>
      <c r="Q172" s="17"/>
      <c r="R172" s="17"/>
    </row>
    <row r="173">
      <c r="A173" s="18"/>
      <c r="B173" s="17"/>
      <c r="C173" s="17"/>
      <c r="D173" s="17"/>
      <c r="E173" s="17"/>
      <c r="F173" s="17"/>
      <c r="G173" s="17"/>
      <c r="M173" s="17"/>
      <c r="N173" s="17"/>
      <c r="O173" s="17"/>
      <c r="P173" s="17"/>
      <c r="Q173" s="17"/>
      <c r="R173" s="17"/>
    </row>
    <row r="174">
      <c r="A174" s="18"/>
      <c r="B174" s="17"/>
      <c r="C174" s="17"/>
      <c r="D174" s="17"/>
      <c r="E174" s="17"/>
      <c r="F174" s="17"/>
      <c r="G174" s="17"/>
      <c r="M174" s="17"/>
      <c r="N174" s="17"/>
      <c r="O174" s="17"/>
      <c r="P174" s="17"/>
      <c r="Q174" s="17"/>
      <c r="R174" s="17"/>
    </row>
    <row r="175">
      <c r="A175" s="18"/>
      <c r="B175" s="17"/>
      <c r="C175" s="17"/>
      <c r="D175" s="17"/>
      <c r="E175" s="17"/>
      <c r="F175" s="17"/>
      <c r="G175" s="17"/>
      <c r="M175" s="17"/>
      <c r="N175" s="17"/>
      <c r="O175" s="17"/>
      <c r="P175" s="17"/>
      <c r="Q175" s="17"/>
      <c r="R175" s="17"/>
    </row>
    <row r="176">
      <c r="A176" s="18"/>
      <c r="B176" s="17"/>
      <c r="C176" s="17"/>
      <c r="D176" s="17"/>
      <c r="E176" s="17"/>
      <c r="F176" s="17"/>
      <c r="G176" s="17"/>
      <c r="M176" s="17"/>
      <c r="N176" s="17"/>
      <c r="O176" s="17"/>
      <c r="P176" s="17"/>
      <c r="Q176" s="17"/>
      <c r="R176" s="17"/>
    </row>
    <row r="177">
      <c r="A177" s="18"/>
      <c r="B177" s="17"/>
      <c r="C177" s="17"/>
      <c r="D177" s="17"/>
      <c r="E177" s="17"/>
      <c r="F177" s="17"/>
      <c r="G177" s="17"/>
      <c r="M177" s="17"/>
      <c r="N177" s="17"/>
      <c r="O177" s="17"/>
      <c r="P177" s="17"/>
      <c r="Q177" s="17"/>
      <c r="R177" s="17"/>
    </row>
    <row r="178">
      <c r="A178" s="18"/>
      <c r="B178" s="17"/>
      <c r="C178" s="17"/>
      <c r="D178" s="17"/>
      <c r="E178" s="17"/>
      <c r="F178" s="17"/>
      <c r="G178" s="17"/>
      <c r="M178" s="17"/>
      <c r="N178" s="17"/>
      <c r="O178" s="17"/>
      <c r="P178" s="17"/>
      <c r="Q178" s="17"/>
      <c r="R178" s="17"/>
    </row>
    <row r="179">
      <c r="A179" s="18"/>
      <c r="B179" s="17"/>
      <c r="C179" s="17"/>
      <c r="D179" s="17"/>
      <c r="E179" s="17"/>
      <c r="F179" s="17"/>
      <c r="G179" s="17"/>
      <c r="M179" s="17"/>
      <c r="N179" s="17"/>
      <c r="O179" s="17"/>
      <c r="P179" s="17"/>
      <c r="Q179" s="17"/>
      <c r="R179" s="17"/>
    </row>
    <row r="180">
      <c r="A180" s="18"/>
      <c r="B180" s="17"/>
      <c r="C180" s="17"/>
      <c r="D180" s="17"/>
      <c r="E180" s="17"/>
      <c r="F180" s="17"/>
      <c r="G180" s="17"/>
      <c r="M180" s="17"/>
      <c r="N180" s="17"/>
      <c r="O180" s="17"/>
      <c r="P180" s="17"/>
      <c r="Q180" s="17"/>
      <c r="R180" s="17"/>
    </row>
    <row r="181">
      <c r="A181" s="18"/>
      <c r="B181" s="17"/>
      <c r="C181" s="17"/>
      <c r="D181" s="17"/>
      <c r="E181" s="17"/>
      <c r="F181" s="17"/>
      <c r="G181" s="17"/>
      <c r="M181" s="17"/>
      <c r="N181" s="17"/>
      <c r="O181" s="17"/>
      <c r="P181" s="17"/>
      <c r="Q181" s="17"/>
      <c r="R181" s="17"/>
    </row>
    <row r="182">
      <c r="A182" s="18"/>
      <c r="B182" s="17"/>
      <c r="C182" s="17"/>
      <c r="D182" s="17"/>
      <c r="E182" s="17"/>
      <c r="F182" s="17"/>
      <c r="G182" s="17"/>
      <c r="M182" s="17"/>
      <c r="N182" s="17"/>
      <c r="O182" s="17"/>
      <c r="P182" s="17"/>
      <c r="Q182" s="17"/>
      <c r="R182" s="17"/>
    </row>
    <row r="183">
      <c r="A183" s="18"/>
      <c r="B183" s="17"/>
      <c r="C183" s="17"/>
      <c r="D183" s="17"/>
      <c r="E183" s="17"/>
      <c r="F183" s="17"/>
      <c r="G183" s="17"/>
      <c r="M183" s="17"/>
      <c r="N183" s="17"/>
      <c r="O183" s="17"/>
      <c r="P183" s="17"/>
      <c r="Q183" s="17"/>
      <c r="R183" s="17"/>
    </row>
    <row r="184">
      <c r="A184" s="18"/>
      <c r="B184" s="17"/>
      <c r="C184" s="17"/>
      <c r="D184" s="17"/>
      <c r="E184" s="17"/>
      <c r="F184" s="17"/>
      <c r="G184" s="17"/>
      <c r="M184" s="17"/>
      <c r="N184" s="17"/>
      <c r="O184" s="17"/>
      <c r="P184" s="17"/>
      <c r="Q184" s="17"/>
      <c r="R184" s="17"/>
    </row>
    <row r="185">
      <c r="A185" s="18"/>
      <c r="B185" s="17"/>
      <c r="C185" s="17"/>
      <c r="D185" s="17"/>
      <c r="E185" s="17"/>
      <c r="F185" s="17"/>
      <c r="G185" s="17"/>
      <c r="M185" s="17"/>
      <c r="N185" s="17"/>
      <c r="O185" s="17"/>
      <c r="P185" s="17"/>
      <c r="Q185" s="17"/>
      <c r="R185" s="17"/>
    </row>
    <row r="186">
      <c r="A186" s="18"/>
      <c r="B186" s="17"/>
      <c r="C186" s="17"/>
      <c r="D186" s="17"/>
      <c r="E186" s="17"/>
      <c r="F186" s="17"/>
      <c r="G186" s="17"/>
      <c r="M186" s="17"/>
      <c r="N186" s="17"/>
      <c r="O186" s="17"/>
      <c r="P186" s="17"/>
      <c r="Q186" s="17"/>
      <c r="R186" s="17"/>
    </row>
    <row r="187">
      <c r="A187" s="18"/>
      <c r="B187" s="17"/>
      <c r="C187" s="17"/>
      <c r="D187" s="17"/>
      <c r="E187" s="17"/>
      <c r="F187" s="17"/>
      <c r="G187" s="17"/>
      <c r="M187" s="17"/>
      <c r="N187" s="17"/>
      <c r="O187" s="17"/>
      <c r="P187" s="17"/>
      <c r="Q187" s="17"/>
      <c r="R187" s="17"/>
    </row>
    <row r="188">
      <c r="A188" s="18"/>
      <c r="B188" s="17"/>
      <c r="C188" s="17"/>
      <c r="D188" s="17"/>
      <c r="E188" s="17"/>
      <c r="F188" s="17"/>
      <c r="G188" s="17"/>
      <c r="M188" s="17"/>
      <c r="N188" s="17"/>
      <c r="O188" s="17"/>
      <c r="P188" s="17"/>
      <c r="Q188" s="17"/>
      <c r="R188" s="17"/>
    </row>
    <row r="189">
      <c r="A189" s="18"/>
      <c r="B189" s="17"/>
      <c r="C189" s="17"/>
      <c r="D189" s="17"/>
      <c r="E189" s="17"/>
      <c r="F189" s="17"/>
      <c r="G189" s="17"/>
      <c r="M189" s="17"/>
      <c r="N189" s="17"/>
      <c r="O189" s="17"/>
      <c r="P189" s="17"/>
      <c r="Q189" s="17"/>
      <c r="R189" s="17"/>
    </row>
    <row r="190">
      <c r="A190" s="18"/>
      <c r="B190" s="17"/>
      <c r="C190" s="17"/>
      <c r="D190" s="17"/>
      <c r="E190" s="17"/>
      <c r="F190" s="17"/>
      <c r="G190" s="17"/>
      <c r="M190" s="17"/>
      <c r="N190" s="17"/>
      <c r="O190" s="17"/>
      <c r="P190" s="17"/>
      <c r="Q190" s="17"/>
      <c r="R190" s="17"/>
    </row>
    <row r="191">
      <c r="A191" s="18"/>
      <c r="B191" s="17"/>
      <c r="C191" s="17"/>
      <c r="D191" s="17"/>
      <c r="E191" s="17"/>
      <c r="F191" s="17"/>
      <c r="G191" s="17"/>
      <c r="M191" s="17"/>
      <c r="N191" s="17"/>
      <c r="O191" s="17"/>
      <c r="P191" s="17"/>
      <c r="Q191" s="17"/>
      <c r="R191" s="17"/>
    </row>
    <row r="192">
      <c r="A192" s="18"/>
      <c r="B192" s="17"/>
      <c r="C192" s="17"/>
      <c r="D192" s="17"/>
      <c r="E192" s="17"/>
      <c r="F192" s="17"/>
      <c r="G192" s="17"/>
      <c r="M192" s="17"/>
      <c r="N192" s="17"/>
      <c r="O192" s="17"/>
      <c r="P192" s="17"/>
      <c r="Q192" s="17"/>
      <c r="R192" s="17"/>
    </row>
    <row r="193">
      <c r="A193" s="18"/>
      <c r="B193" s="17"/>
      <c r="C193" s="17"/>
      <c r="D193" s="17"/>
      <c r="E193" s="17"/>
      <c r="F193" s="17"/>
      <c r="G193" s="17"/>
      <c r="M193" s="17"/>
      <c r="N193" s="17"/>
      <c r="O193" s="17"/>
      <c r="P193" s="17"/>
      <c r="Q193" s="17"/>
      <c r="R193" s="17"/>
    </row>
    <row r="194">
      <c r="A194" s="18"/>
      <c r="B194" s="17"/>
      <c r="C194" s="17"/>
      <c r="D194" s="17"/>
      <c r="E194" s="17"/>
      <c r="F194" s="17"/>
      <c r="G194" s="17"/>
      <c r="M194" s="17"/>
      <c r="N194" s="17"/>
      <c r="O194" s="17"/>
      <c r="P194" s="17"/>
      <c r="Q194" s="17"/>
      <c r="R194" s="17"/>
    </row>
    <row r="195">
      <c r="A195" s="18"/>
      <c r="B195" s="17"/>
      <c r="C195" s="17"/>
      <c r="D195" s="17"/>
      <c r="E195" s="17"/>
      <c r="F195" s="17"/>
      <c r="G195" s="17"/>
      <c r="M195" s="17"/>
      <c r="N195" s="17"/>
      <c r="O195" s="17"/>
      <c r="P195" s="17"/>
      <c r="Q195" s="17"/>
      <c r="R195" s="17"/>
    </row>
    <row r="196">
      <c r="A196" s="18"/>
      <c r="B196" s="17"/>
      <c r="C196" s="17"/>
      <c r="D196" s="17"/>
      <c r="E196" s="17"/>
      <c r="F196" s="17"/>
      <c r="G196" s="17"/>
      <c r="M196" s="17"/>
      <c r="N196" s="17"/>
      <c r="O196" s="17"/>
      <c r="P196" s="17"/>
      <c r="Q196" s="17"/>
      <c r="R196" s="17"/>
    </row>
    <row r="197">
      <c r="A197" s="18"/>
      <c r="B197" s="17"/>
      <c r="C197" s="17"/>
      <c r="D197" s="17"/>
      <c r="E197" s="17"/>
      <c r="F197" s="17"/>
      <c r="G197" s="17"/>
      <c r="M197" s="17"/>
      <c r="N197" s="17"/>
      <c r="O197" s="17"/>
      <c r="P197" s="17"/>
      <c r="Q197" s="17"/>
      <c r="R197" s="17"/>
    </row>
    <row r="198">
      <c r="A198" s="18"/>
      <c r="B198" s="17"/>
      <c r="C198" s="17"/>
      <c r="D198" s="17"/>
      <c r="E198" s="17"/>
      <c r="F198" s="17"/>
      <c r="G198" s="17"/>
      <c r="M198" s="17"/>
      <c r="N198" s="17"/>
      <c r="O198" s="17"/>
      <c r="P198" s="17"/>
      <c r="Q198" s="17"/>
      <c r="R198" s="17"/>
    </row>
    <row r="199">
      <c r="A199" s="18"/>
      <c r="B199" s="17"/>
      <c r="C199" s="17"/>
      <c r="D199" s="17"/>
      <c r="E199" s="17"/>
      <c r="F199" s="17"/>
      <c r="G199" s="17"/>
      <c r="M199" s="17"/>
      <c r="N199" s="17"/>
      <c r="O199" s="17"/>
      <c r="P199" s="17"/>
      <c r="Q199" s="17"/>
      <c r="R199" s="17"/>
    </row>
    <row r="200">
      <c r="A200" s="18"/>
      <c r="B200" s="17"/>
      <c r="C200" s="17"/>
      <c r="D200" s="17"/>
      <c r="E200" s="17"/>
      <c r="F200" s="17"/>
      <c r="G200" s="17"/>
      <c r="M200" s="17"/>
      <c r="N200" s="17"/>
      <c r="O200" s="17"/>
      <c r="P200" s="17"/>
      <c r="Q200" s="17"/>
      <c r="R200" s="17"/>
    </row>
    <row r="201">
      <c r="A201" s="18"/>
      <c r="B201" s="17"/>
      <c r="C201" s="17"/>
      <c r="D201" s="17"/>
      <c r="E201" s="17"/>
      <c r="F201" s="17"/>
      <c r="G201" s="17"/>
      <c r="M201" s="17"/>
      <c r="N201" s="17"/>
      <c r="O201" s="17"/>
      <c r="P201" s="17"/>
      <c r="Q201" s="17"/>
      <c r="R201" s="17"/>
    </row>
    <row r="202">
      <c r="A202" s="18"/>
      <c r="B202" s="17"/>
      <c r="C202" s="17"/>
      <c r="D202" s="17"/>
      <c r="E202" s="17"/>
      <c r="F202" s="17"/>
      <c r="G202" s="17"/>
      <c r="M202" s="17"/>
      <c r="N202" s="17"/>
      <c r="O202" s="17"/>
      <c r="P202" s="17"/>
      <c r="Q202" s="17"/>
      <c r="R202" s="17"/>
    </row>
    <row r="203">
      <c r="A203" s="18"/>
      <c r="B203" s="17"/>
      <c r="C203" s="17"/>
      <c r="D203" s="17"/>
      <c r="E203" s="17"/>
      <c r="F203" s="17"/>
      <c r="G203" s="17"/>
      <c r="M203" s="17"/>
      <c r="N203" s="17"/>
      <c r="O203" s="17"/>
      <c r="P203" s="17"/>
      <c r="Q203" s="17"/>
      <c r="R203" s="17"/>
    </row>
    <row r="204">
      <c r="A204" s="18"/>
      <c r="B204" s="17"/>
      <c r="C204" s="17"/>
      <c r="D204" s="17"/>
      <c r="E204" s="17"/>
      <c r="F204" s="17"/>
      <c r="G204" s="17"/>
      <c r="M204" s="17"/>
      <c r="N204" s="17"/>
      <c r="O204" s="17"/>
      <c r="P204" s="17"/>
      <c r="Q204" s="17"/>
      <c r="R204" s="17"/>
    </row>
    <row r="205">
      <c r="A205" s="18"/>
      <c r="B205" s="17"/>
      <c r="C205" s="17"/>
      <c r="D205" s="17"/>
      <c r="E205" s="17"/>
      <c r="F205" s="17"/>
      <c r="G205" s="17"/>
      <c r="M205" s="17"/>
      <c r="N205" s="17"/>
      <c r="O205" s="17"/>
      <c r="P205" s="17"/>
      <c r="Q205" s="17"/>
      <c r="R205" s="17"/>
    </row>
    <row r="206">
      <c r="A206" s="18"/>
      <c r="B206" s="17"/>
      <c r="C206" s="17"/>
      <c r="D206" s="17"/>
      <c r="E206" s="17"/>
      <c r="F206" s="17"/>
      <c r="G206" s="17"/>
      <c r="M206" s="17"/>
      <c r="N206" s="17"/>
      <c r="O206" s="17"/>
      <c r="P206" s="17"/>
      <c r="Q206" s="17"/>
      <c r="R206" s="17"/>
    </row>
    <row r="207">
      <c r="A207" s="18"/>
      <c r="B207" s="17"/>
      <c r="C207" s="17"/>
      <c r="D207" s="17"/>
      <c r="E207" s="17"/>
      <c r="F207" s="17"/>
      <c r="G207" s="17"/>
      <c r="M207" s="17"/>
      <c r="N207" s="17"/>
      <c r="O207" s="17"/>
      <c r="P207" s="17"/>
      <c r="Q207" s="17"/>
      <c r="R207" s="17"/>
    </row>
    <row r="208">
      <c r="A208" s="18"/>
      <c r="B208" s="17"/>
      <c r="C208" s="17"/>
      <c r="D208" s="17"/>
      <c r="E208" s="17"/>
      <c r="F208" s="17"/>
      <c r="G208" s="17"/>
      <c r="M208" s="17"/>
      <c r="N208" s="17"/>
      <c r="O208" s="17"/>
      <c r="P208" s="17"/>
      <c r="Q208" s="17"/>
      <c r="R208" s="17"/>
    </row>
    <row r="209">
      <c r="A209" s="18"/>
      <c r="B209" s="17"/>
      <c r="C209" s="17"/>
      <c r="D209" s="17"/>
      <c r="E209" s="17"/>
      <c r="F209" s="17"/>
      <c r="G209" s="17"/>
      <c r="M209" s="17"/>
      <c r="N209" s="17"/>
      <c r="O209" s="17"/>
      <c r="P209" s="17"/>
      <c r="Q209" s="17"/>
      <c r="R209" s="17"/>
    </row>
    <row r="210">
      <c r="A210" s="18"/>
      <c r="B210" s="17"/>
      <c r="C210" s="17"/>
      <c r="D210" s="17"/>
      <c r="E210" s="17"/>
      <c r="F210" s="17"/>
      <c r="G210" s="17"/>
      <c r="M210" s="17"/>
      <c r="N210" s="17"/>
      <c r="O210" s="17"/>
      <c r="P210" s="17"/>
      <c r="Q210" s="17"/>
      <c r="R210" s="17"/>
    </row>
    <row r="211">
      <c r="A211" s="18"/>
      <c r="B211" s="17"/>
      <c r="C211" s="17"/>
      <c r="D211" s="17"/>
      <c r="E211" s="17"/>
      <c r="F211" s="17"/>
      <c r="G211" s="17"/>
      <c r="M211" s="17"/>
      <c r="N211" s="17"/>
      <c r="O211" s="17"/>
      <c r="P211" s="17"/>
      <c r="Q211" s="17"/>
      <c r="R211" s="17"/>
    </row>
    <row r="212">
      <c r="A212" s="18"/>
      <c r="B212" s="17"/>
      <c r="C212" s="17"/>
      <c r="D212" s="17"/>
      <c r="E212" s="17"/>
      <c r="F212" s="17"/>
      <c r="G212" s="17"/>
      <c r="M212" s="17"/>
      <c r="N212" s="17"/>
      <c r="O212" s="17"/>
      <c r="P212" s="17"/>
      <c r="Q212" s="17"/>
      <c r="R212" s="17"/>
    </row>
    <row r="213">
      <c r="A213" s="18"/>
      <c r="B213" s="17"/>
      <c r="C213" s="17"/>
      <c r="D213" s="17"/>
      <c r="E213" s="17"/>
      <c r="F213" s="17"/>
      <c r="G213" s="17"/>
      <c r="M213" s="17"/>
      <c r="N213" s="17"/>
      <c r="O213" s="17"/>
      <c r="P213" s="17"/>
      <c r="Q213" s="17"/>
      <c r="R213" s="17"/>
    </row>
    <row r="214">
      <c r="A214" s="18"/>
      <c r="B214" s="17"/>
      <c r="C214" s="17"/>
      <c r="D214" s="17"/>
      <c r="E214" s="17"/>
      <c r="F214" s="17"/>
      <c r="G214" s="17"/>
      <c r="M214" s="17"/>
      <c r="N214" s="17"/>
      <c r="O214" s="17"/>
      <c r="P214" s="17"/>
      <c r="Q214" s="17"/>
      <c r="R214" s="17"/>
    </row>
    <row r="215">
      <c r="A215" s="18"/>
      <c r="B215" s="17"/>
      <c r="C215" s="17"/>
      <c r="D215" s="17"/>
      <c r="E215" s="17"/>
      <c r="F215" s="17"/>
      <c r="G215" s="17"/>
      <c r="M215" s="17"/>
      <c r="N215" s="17"/>
      <c r="O215" s="17"/>
      <c r="P215" s="17"/>
      <c r="Q215" s="17"/>
      <c r="R215" s="17"/>
    </row>
    <row r="216">
      <c r="A216" s="18"/>
      <c r="B216" s="17"/>
      <c r="C216" s="17"/>
      <c r="D216" s="17"/>
      <c r="E216" s="17"/>
      <c r="F216" s="17"/>
      <c r="G216" s="17"/>
      <c r="M216" s="17"/>
      <c r="N216" s="17"/>
      <c r="O216" s="17"/>
      <c r="P216" s="17"/>
      <c r="Q216" s="17"/>
      <c r="R216" s="17"/>
    </row>
    <row r="217">
      <c r="A217" s="18"/>
      <c r="B217" s="17"/>
      <c r="C217" s="17"/>
      <c r="D217" s="17"/>
      <c r="E217" s="17"/>
      <c r="F217" s="17"/>
      <c r="G217" s="17"/>
      <c r="M217" s="17"/>
      <c r="N217" s="17"/>
      <c r="O217" s="17"/>
      <c r="P217" s="17"/>
      <c r="Q217" s="17"/>
      <c r="R217" s="17"/>
    </row>
    <row r="218">
      <c r="A218" s="18"/>
      <c r="B218" s="17"/>
      <c r="C218" s="17"/>
      <c r="D218" s="17"/>
      <c r="E218" s="17"/>
      <c r="F218" s="17"/>
      <c r="G218" s="17"/>
      <c r="M218" s="17"/>
      <c r="N218" s="17"/>
      <c r="O218" s="17"/>
      <c r="P218" s="17"/>
      <c r="Q218" s="17"/>
      <c r="R218" s="17"/>
    </row>
    <row r="219">
      <c r="A219" s="18"/>
      <c r="B219" s="17"/>
      <c r="C219" s="17"/>
      <c r="D219" s="17"/>
      <c r="E219" s="17"/>
      <c r="F219" s="17"/>
      <c r="G219" s="17"/>
      <c r="M219" s="17"/>
      <c r="N219" s="17"/>
      <c r="O219" s="17"/>
      <c r="P219" s="17"/>
      <c r="Q219" s="17"/>
      <c r="R219" s="17"/>
    </row>
    <row r="220">
      <c r="A220" s="18"/>
      <c r="B220" s="17"/>
      <c r="C220" s="17"/>
      <c r="D220" s="17"/>
      <c r="E220" s="17"/>
      <c r="F220" s="17"/>
      <c r="G220" s="17"/>
      <c r="M220" s="17"/>
      <c r="N220" s="17"/>
      <c r="O220" s="17"/>
      <c r="P220" s="17"/>
      <c r="Q220" s="17"/>
      <c r="R220" s="17"/>
    </row>
    <row r="221">
      <c r="A221" s="18"/>
      <c r="B221" s="17"/>
      <c r="C221" s="17"/>
      <c r="D221" s="17"/>
      <c r="E221" s="17"/>
      <c r="F221" s="17"/>
      <c r="G221" s="17"/>
      <c r="M221" s="17"/>
      <c r="N221" s="17"/>
      <c r="O221" s="17"/>
      <c r="P221" s="17"/>
      <c r="Q221" s="17"/>
      <c r="R221" s="17"/>
    </row>
    <row r="222">
      <c r="A222" s="18"/>
      <c r="B222" s="17"/>
      <c r="C222" s="17"/>
      <c r="D222" s="17"/>
      <c r="E222" s="17"/>
      <c r="F222" s="17"/>
      <c r="G222" s="17"/>
      <c r="M222" s="17"/>
      <c r="N222" s="17"/>
      <c r="O222" s="17"/>
      <c r="P222" s="17"/>
      <c r="Q222" s="17"/>
      <c r="R222" s="17"/>
    </row>
    <row r="223">
      <c r="A223" s="18"/>
      <c r="B223" s="17"/>
      <c r="C223" s="17"/>
      <c r="D223" s="17"/>
      <c r="E223" s="17"/>
      <c r="F223" s="17"/>
      <c r="G223" s="17"/>
      <c r="M223" s="17"/>
      <c r="N223" s="17"/>
      <c r="O223" s="17"/>
      <c r="P223" s="17"/>
      <c r="Q223" s="17"/>
      <c r="R223" s="17"/>
    </row>
    <row r="224">
      <c r="A224" s="18"/>
      <c r="B224" s="17"/>
      <c r="C224" s="17"/>
      <c r="D224" s="17"/>
      <c r="E224" s="17"/>
      <c r="F224" s="17"/>
      <c r="G224" s="17"/>
      <c r="M224" s="17"/>
      <c r="N224" s="17"/>
      <c r="O224" s="17"/>
      <c r="P224" s="17"/>
      <c r="Q224" s="17"/>
      <c r="R224" s="17"/>
    </row>
    <row r="225">
      <c r="A225" s="18"/>
      <c r="B225" s="17"/>
      <c r="C225" s="17"/>
      <c r="D225" s="17"/>
      <c r="E225" s="17"/>
      <c r="F225" s="17"/>
      <c r="G225" s="17"/>
      <c r="M225" s="17"/>
      <c r="N225" s="17"/>
      <c r="O225" s="17"/>
      <c r="P225" s="17"/>
      <c r="Q225" s="17"/>
      <c r="R225" s="17"/>
    </row>
    <row r="226">
      <c r="A226" s="18"/>
      <c r="B226" s="17"/>
      <c r="C226" s="17"/>
      <c r="D226" s="17"/>
      <c r="E226" s="17"/>
      <c r="F226" s="17"/>
      <c r="G226" s="17"/>
      <c r="M226" s="17"/>
      <c r="N226" s="17"/>
      <c r="O226" s="17"/>
      <c r="P226" s="17"/>
      <c r="Q226" s="17"/>
      <c r="R226" s="17"/>
    </row>
    <row r="227">
      <c r="A227" s="18"/>
      <c r="B227" s="17"/>
      <c r="C227" s="17"/>
      <c r="D227" s="17"/>
      <c r="E227" s="17"/>
      <c r="F227" s="17"/>
      <c r="G227" s="17"/>
      <c r="M227" s="17"/>
      <c r="N227" s="17"/>
      <c r="O227" s="17"/>
      <c r="P227" s="17"/>
      <c r="Q227" s="17"/>
      <c r="R227" s="17"/>
    </row>
    <row r="228">
      <c r="A228" s="18"/>
      <c r="B228" s="17"/>
      <c r="C228" s="17"/>
      <c r="D228" s="17"/>
      <c r="E228" s="17"/>
      <c r="F228" s="17"/>
      <c r="G228" s="17"/>
      <c r="M228" s="17"/>
      <c r="N228" s="17"/>
      <c r="O228" s="17"/>
      <c r="P228" s="17"/>
      <c r="Q228" s="17"/>
      <c r="R228" s="17"/>
    </row>
    <row r="229">
      <c r="A229" s="18"/>
      <c r="B229" s="17"/>
      <c r="C229" s="17"/>
      <c r="D229" s="17"/>
      <c r="E229" s="17"/>
      <c r="F229" s="17"/>
      <c r="G229" s="17"/>
      <c r="M229" s="17"/>
      <c r="N229" s="17"/>
      <c r="O229" s="17"/>
      <c r="P229" s="17"/>
      <c r="Q229" s="17"/>
      <c r="R229" s="17"/>
    </row>
    <row r="230">
      <c r="A230" s="18"/>
      <c r="B230" s="17"/>
      <c r="C230" s="17"/>
      <c r="D230" s="17"/>
      <c r="E230" s="17"/>
      <c r="F230" s="17"/>
      <c r="G230" s="17"/>
      <c r="M230" s="17"/>
      <c r="N230" s="17"/>
      <c r="O230" s="17"/>
      <c r="P230" s="17"/>
      <c r="Q230" s="17"/>
      <c r="R230" s="17"/>
    </row>
    <row r="231">
      <c r="A231" s="18"/>
      <c r="B231" s="17"/>
      <c r="C231" s="17"/>
      <c r="D231" s="17"/>
      <c r="E231" s="17"/>
      <c r="F231" s="17"/>
      <c r="G231" s="17"/>
      <c r="M231" s="17"/>
      <c r="N231" s="17"/>
      <c r="O231" s="17"/>
      <c r="P231" s="17"/>
      <c r="Q231" s="17"/>
      <c r="R231" s="17"/>
    </row>
    <row r="232">
      <c r="A232" s="18"/>
      <c r="B232" s="17"/>
      <c r="C232" s="17"/>
      <c r="D232" s="17"/>
      <c r="E232" s="17"/>
      <c r="F232" s="17"/>
      <c r="G232" s="17"/>
      <c r="M232" s="17"/>
      <c r="N232" s="17"/>
      <c r="O232" s="17"/>
      <c r="P232" s="17"/>
      <c r="Q232" s="17"/>
      <c r="R232" s="17"/>
    </row>
    <row r="233">
      <c r="A233" s="18"/>
      <c r="B233" s="17"/>
      <c r="C233" s="17"/>
      <c r="D233" s="17"/>
      <c r="E233" s="17"/>
      <c r="F233" s="17"/>
      <c r="G233" s="17"/>
      <c r="M233" s="17"/>
      <c r="N233" s="17"/>
      <c r="O233" s="17"/>
      <c r="P233" s="17"/>
      <c r="Q233" s="17"/>
      <c r="R233" s="17"/>
    </row>
    <row r="234">
      <c r="A234" s="18"/>
      <c r="B234" s="17"/>
      <c r="C234" s="17"/>
      <c r="D234" s="17"/>
      <c r="E234" s="17"/>
      <c r="F234" s="17"/>
      <c r="G234" s="17"/>
      <c r="M234" s="17"/>
      <c r="N234" s="17"/>
      <c r="O234" s="17"/>
      <c r="P234" s="17"/>
      <c r="Q234" s="17"/>
      <c r="R234" s="17"/>
    </row>
    <row r="235">
      <c r="A235" s="18"/>
      <c r="B235" s="17"/>
      <c r="C235" s="17"/>
      <c r="D235" s="17"/>
      <c r="E235" s="17"/>
      <c r="F235" s="17"/>
      <c r="G235" s="17"/>
      <c r="M235" s="17"/>
      <c r="N235" s="17"/>
      <c r="O235" s="17"/>
      <c r="P235" s="17"/>
      <c r="Q235" s="17"/>
      <c r="R235" s="17"/>
    </row>
    <row r="236">
      <c r="A236" s="18"/>
      <c r="B236" s="17"/>
      <c r="C236" s="17"/>
      <c r="D236" s="17"/>
      <c r="E236" s="17"/>
      <c r="F236" s="17"/>
      <c r="G236" s="17"/>
      <c r="M236" s="17"/>
      <c r="N236" s="17"/>
      <c r="O236" s="17"/>
      <c r="P236" s="17"/>
      <c r="Q236" s="17"/>
      <c r="R236" s="17"/>
    </row>
    <row r="237">
      <c r="A237" s="18"/>
      <c r="B237" s="17"/>
      <c r="C237" s="17"/>
      <c r="D237" s="17"/>
      <c r="E237" s="17"/>
      <c r="F237" s="17"/>
      <c r="G237" s="17"/>
      <c r="M237" s="17"/>
      <c r="N237" s="17"/>
      <c r="O237" s="17"/>
      <c r="P237" s="17"/>
      <c r="Q237" s="17"/>
      <c r="R237" s="17"/>
    </row>
    <row r="238">
      <c r="A238" s="18"/>
      <c r="B238" s="17"/>
      <c r="C238" s="17"/>
      <c r="D238" s="17"/>
      <c r="E238" s="17"/>
      <c r="F238" s="17"/>
      <c r="G238" s="17"/>
      <c r="M238" s="17"/>
      <c r="N238" s="17"/>
      <c r="O238" s="17"/>
      <c r="P238" s="17"/>
      <c r="Q238" s="17"/>
      <c r="R238" s="17"/>
    </row>
    <row r="239">
      <c r="A239" s="18"/>
      <c r="B239" s="17"/>
      <c r="C239" s="17"/>
      <c r="D239" s="17"/>
      <c r="E239" s="17"/>
      <c r="F239" s="17"/>
      <c r="G239" s="17"/>
      <c r="M239" s="17"/>
      <c r="N239" s="17"/>
      <c r="O239" s="17"/>
      <c r="P239" s="17"/>
      <c r="Q239" s="17"/>
      <c r="R239" s="17"/>
    </row>
    <row r="240">
      <c r="A240" s="18"/>
      <c r="B240" s="17"/>
      <c r="C240" s="17"/>
      <c r="D240" s="17"/>
      <c r="E240" s="17"/>
      <c r="F240" s="17"/>
      <c r="G240" s="17"/>
      <c r="M240" s="17"/>
      <c r="N240" s="17"/>
      <c r="O240" s="17"/>
      <c r="P240" s="17"/>
      <c r="Q240" s="17"/>
      <c r="R240" s="17"/>
    </row>
    <row r="241">
      <c r="A241" s="18"/>
      <c r="B241" s="17"/>
      <c r="C241" s="17"/>
      <c r="D241" s="17"/>
      <c r="E241" s="17"/>
      <c r="F241" s="17"/>
      <c r="G241" s="17"/>
      <c r="M241" s="17"/>
      <c r="N241" s="17"/>
      <c r="O241" s="17"/>
      <c r="P241" s="17"/>
      <c r="Q241" s="17"/>
      <c r="R241" s="17"/>
    </row>
    <row r="242">
      <c r="A242" s="18"/>
      <c r="B242" s="17"/>
      <c r="C242" s="17"/>
      <c r="D242" s="17"/>
      <c r="E242" s="17"/>
      <c r="F242" s="17"/>
      <c r="G242" s="17"/>
      <c r="M242" s="17"/>
      <c r="N242" s="17"/>
      <c r="O242" s="17"/>
      <c r="P242" s="17"/>
      <c r="Q242" s="17"/>
      <c r="R242" s="17"/>
    </row>
    <row r="243">
      <c r="A243" s="18"/>
      <c r="B243" s="17"/>
      <c r="C243" s="17"/>
      <c r="D243" s="17"/>
      <c r="E243" s="17"/>
      <c r="F243" s="17"/>
      <c r="G243" s="17"/>
      <c r="M243" s="17"/>
      <c r="N243" s="17"/>
      <c r="O243" s="17"/>
      <c r="P243" s="17"/>
      <c r="Q243" s="17"/>
      <c r="R243" s="17"/>
    </row>
    <row r="244">
      <c r="A244" s="18"/>
      <c r="B244" s="17"/>
      <c r="C244" s="17"/>
      <c r="D244" s="17"/>
      <c r="E244" s="17"/>
      <c r="F244" s="17"/>
      <c r="G244" s="17"/>
      <c r="M244" s="17"/>
      <c r="N244" s="17"/>
      <c r="O244" s="17"/>
      <c r="P244" s="17"/>
      <c r="Q244" s="17"/>
      <c r="R244" s="17"/>
    </row>
    <row r="245">
      <c r="A245" s="18"/>
      <c r="B245" s="17"/>
      <c r="C245" s="17"/>
      <c r="D245" s="17"/>
      <c r="E245" s="17"/>
      <c r="F245" s="17"/>
      <c r="G245" s="17"/>
      <c r="M245" s="17"/>
      <c r="N245" s="17"/>
      <c r="O245" s="17"/>
      <c r="P245" s="17"/>
      <c r="Q245" s="17"/>
      <c r="R245" s="17"/>
    </row>
    <row r="246">
      <c r="A246" s="18"/>
      <c r="B246" s="17"/>
      <c r="C246" s="17"/>
      <c r="D246" s="17"/>
      <c r="E246" s="17"/>
      <c r="F246" s="17"/>
      <c r="G246" s="17"/>
      <c r="M246" s="17"/>
      <c r="N246" s="17"/>
      <c r="O246" s="17"/>
      <c r="P246" s="17"/>
      <c r="Q246" s="17"/>
      <c r="R246" s="17"/>
    </row>
    <row r="247">
      <c r="A247" s="18"/>
      <c r="B247" s="17"/>
      <c r="C247" s="17"/>
      <c r="D247" s="17"/>
      <c r="E247" s="17"/>
      <c r="F247" s="17"/>
      <c r="G247" s="17"/>
      <c r="M247" s="17"/>
      <c r="N247" s="17"/>
      <c r="O247" s="17"/>
      <c r="P247" s="17"/>
      <c r="Q247" s="17"/>
      <c r="R247" s="17"/>
    </row>
    <row r="248">
      <c r="A248" s="18"/>
      <c r="B248" s="17"/>
      <c r="C248" s="17"/>
      <c r="D248" s="17"/>
      <c r="E248" s="17"/>
      <c r="F248" s="17"/>
      <c r="G248" s="17"/>
      <c r="M248" s="17"/>
      <c r="N248" s="17"/>
      <c r="O248" s="17"/>
      <c r="P248" s="17"/>
      <c r="Q248" s="17"/>
      <c r="R248" s="17"/>
    </row>
    <row r="249">
      <c r="A249" s="18"/>
      <c r="B249" s="17"/>
      <c r="C249" s="17"/>
      <c r="D249" s="17"/>
      <c r="E249" s="17"/>
      <c r="F249" s="17"/>
      <c r="G249" s="17"/>
      <c r="M249" s="17"/>
      <c r="N249" s="17"/>
      <c r="O249" s="17"/>
      <c r="P249" s="17"/>
      <c r="Q249" s="17"/>
      <c r="R249" s="17"/>
    </row>
    <row r="250">
      <c r="A250" s="18"/>
      <c r="B250" s="17"/>
      <c r="C250" s="17"/>
      <c r="D250" s="17"/>
      <c r="E250" s="17"/>
      <c r="F250" s="17"/>
      <c r="G250" s="17"/>
      <c r="M250" s="17"/>
      <c r="N250" s="17"/>
      <c r="O250" s="17"/>
      <c r="P250" s="17"/>
      <c r="Q250" s="17"/>
      <c r="R250" s="17"/>
    </row>
    <row r="251">
      <c r="A251" s="18"/>
      <c r="B251" s="17"/>
      <c r="C251" s="17"/>
      <c r="D251" s="17"/>
      <c r="E251" s="17"/>
      <c r="F251" s="17"/>
      <c r="G251" s="17"/>
      <c r="M251" s="17"/>
      <c r="N251" s="17"/>
      <c r="O251" s="17"/>
      <c r="P251" s="17"/>
      <c r="Q251" s="17"/>
      <c r="R251" s="17"/>
    </row>
    <row r="252">
      <c r="A252" s="18"/>
      <c r="B252" s="17"/>
      <c r="C252" s="17"/>
      <c r="D252" s="17"/>
      <c r="E252" s="17"/>
      <c r="F252" s="17"/>
      <c r="G252" s="17"/>
      <c r="M252" s="17"/>
      <c r="N252" s="17"/>
      <c r="O252" s="17"/>
      <c r="P252" s="17"/>
      <c r="Q252" s="17"/>
      <c r="R252" s="17"/>
    </row>
    <row r="253">
      <c r="A253" s="18"/>
      <c r="B253" s="17"/>
      <c r="C253" s="17"/>
      <c r="D253" s="17"/>
      <c r="E253" s="17"/>
      <c r="F253" s="17"/>
      <c r="G253" s="17"/>
      <c r="M253" s="17"/>
      <c r="N253" s="17"/>
      <c r="O253" s="17"/>
      <c r="P253" s="17"/>
      <c r="Q253" s="17"/>
      <c r="R253" s="17"/>
    </row>
    <row r="254">
      <c r="A254" s="18"/>
      <c r="B254" s="17"/>
      <c r="C254" s="17"/>
      <c r="D254" s="17"/>
      <c r="E254" s="17"/>
      <c r="F254" s="17"/>
      <c r="G254" s="17"/>
      <c r="M254" s="17"/>
      <c r="N254" s="17"/>
      <c r="O254" s="17"/>
      <c r="P254" s="17"/>
      <c r="Q254" s="17"/>
      <c r="R254" s="17"/>
    </row>
    <row r="255">
      <c r="A255" s="18"/>
      <c r="B255" s="17"/>
      <c r="C255" s="17"/>
      <c r="D255" s="17"/>
      <c r="E255" s="17"/>
      <c r="F255" s="17"/>
      <c r="G255" s="17"/>
      <c r="M255" s="17"/>
      <c r="N255" s="17"/>
      <c r="O255" s="17"/>
      <c r="P255" s="17"/>
      <c r="Q255" s="17"/>
      <c r="R255" s="17"/>
    </row>
    <row r="256">
      <c r="A256" s="18"/>
      <c r="B256" s="17"/>
      <c r="C256" s="17"/>
      <c r="D256" s="17"/>
      <c r="E256" s="17"/>
      <c r="F256" s="17"/>
      <c r="G256" s="17"/>
      <c r="M256" s="17"/>
      <c r="N256" s="17"/>
      <c r="O256" s="17"/>
      <c r="P256" s="17"/>
      <c r="Q256" s="17"/>
      <c r="R256" s="17"/>
    </row>
    <row r="257">
      <c r="A257" s="18"/>
      <c r="B257" s="17"/>
      <c r="C257" s="17"/>
      <c r="D257" s="17"/>
      <c r="E257" s="17"/>
      <c r="F257" s="17"/>
      <c r="G257" s="17"/>
      <c r="M257" s="17"/>
      <c r="N257" s="17"/>
      <c r="O257" s="17"/>
      <c r="P257" s="17"/>
      <c r="Q257" s="17"/>
      <c r="R257" s="17"/>
    </row>
    <row r="258">
      <c r="A258" s="18"/>
      <c r="B258" s="17"/>
      <c r="C258" s="17"/>
      <c r="D258" s="17"/>
      <c r="E258" s="17"/>
      <c r="F258" s="17"/>
      <c r="G258" s="17"/>
      <c r="M258" s="17"/>
      <c r="N258" s="17"/>
      <c r="O258" s="17"/>
      <c r="P258" s="17"/>
      <c r="Q258" s="17"/>
      <c r="R258" s="17"/>
    </row>
    <row r="259">
      <c r="A259" s="18"/>
      <c r="B259" s="17"/>
      <c r="C259" s="17"/>
      <c r="D259" s="17"/>
      <c r="E259" s="17"/>
      <c r="F259" s="17"/>
      <c r="G259" s="17"/>
      <c r="M259" s="17"/>
      <c r="N259" s="17"/>
      <c r="O259" s="17"/>
      <c r="P259" s="17"/>
      <c r="Q259" s="17"/>
      <c r="R259" s="17"/>
    </row>
    <row r="260">
      <c r="A260" s="18"/>
      <c r="B260" s="17"/>
      <c r="C260" s="17"/>
      <c r="D260" s="17"/>
      <c r="E260" s="17"/>
      <c r="F260" s="17"/>
      <c r="G260" s="17"/>
      <c r="M260" s="17"/>
      <c r="N260" s="17"/>
      <c r="O260" s="17"/>
      <c r="P260" s="17"/>
      <c r="Q260" s="17"/>
      <c r="R260" s="17"/>
    </row>
    <row r="261">
      <c r="A261" s="18"/>
      <c r="B261" s="17"/>
      <c r="C261" s="17"/>
      <c r="D261" s="17"/>
      <c r="E261" s="17"/>
      <c r="F261" s="17"/>
      <c r="G261" s="17"/>
      <c r="M261" s="17"/>
      <c r="N261" s="17"/>
      <c r="O261" s="17"/>
      <c r="P261" s="17"/>
      <c r="Q261" s="17"/>
      <c r="R261" s="17"/>
    </row>
    <row r="262">
      <c r="A262" s="18"/>
      <c r="B262" s="17"/>
      <c r="C262" s="17"/>
      <c r="D262" s="17"/>
      <c r="E262" s="17"/>
      <c r="F262" s="17"/>
      <c r="G262" s="17"/>
      <c r="M262" s="17"/>
      <c r="N262" s="17"/>
      <c r="O262" s="17"/>
      <c r="P262" s="17"/>
      <c r="Q262" s="17"/>
      <c r="R262" s="17"/>
    </row>
    <row r="263">
      <c r="A263" s="18"/>
      <c r="B263" s="17"/>
      <c r="C263" s="17"/>
      <c r="D263" s="17"/>
      <c r="E263" s="17"/>
      <c r="F263" s="17"/>
      <c r="G263" s="17"/>
      <c r="M263" s="17"/>
      <c r="N263" s="17"/>
      <c r="O263" s="17"/>
      <c r="P263" s="17"/>
      <c r="Q263" s="17"/>
      <c r="R263" s="17"/>
    </row>
    <row r="264">
      <c r="A264" s="18"/>
      <c r="B264" s="17"/>
      <c r="C264" s="17"/>
      <c r="D264" s="17"/>
      <c r="E264" s="17"/>
      <c r="F264" s="17"/>
      <c r="G264" s="17"/>
      <c r="M264" s="17"/>
      <c r="N264" s="17"/>
      <c r="O264" s="17"/>
      <c r="P264" s="17"/>
      <c r="Q264" s="17"/>
      <c r="R264" s="17"/>
    </row>
    <row r="265">
      <c r="A265" s="18"/>
      <c r="B265" s="17"/>
      <c r="C265" s="17"/>
      <c r="D265" s="17"/>
      <c r="E265" s="17"/>
      <c r="F265" s="17"/>
      <c r="G265" s="17"/>
      <c r="M265" s="17"/>
      <c r="N265" s="17"/>
      <c r="O265" s="17"/>
      <c r="P265" s="17"/>
      <c r="Q265" s="17"/>
      <c r="R265" s="17"/>
    </row>
    <row r="266">
      <c r="A266" s="18"/>
      <c r="B266" s="17"/>
      <c r="C266" s="17"/>
      <c r="D266" s="17"/>
      <c r="E266" s="17"/>
      <c r="F266" s="17"/>
      <c r="G266" s="17"/>
      <c r="M266" s="17"/>
      <c r="N266" s="17"/>
      <c r="O266" s="17"/>
      <c r="P266" s="17"/>
      <c r="Q266" s="17"/>
      <c r="R266" s="17"/>
    </row>
    <row r="267">
      <c r="A267" s="18"/>
      <c r="B267" s="17"/>
      <c r="C267" s="17"/>
      <c r="D267" s="17"/>
      <c r="E267" s="17"/>
      <c r="F267" s="17"/>
      <c r="G267" s="17"/>
      <c r="M267" s="17"/>
      <c r="N267" s="17"/>
      <c r="O267" s="17"/>
      <c r="P267" s="17"/>
      <c r="Q267" s="17"/>
      <c r="R267" s="17"/>
    </row>
    <row r="268">
      <c r="A268" s="18"/>
      <c r="B268" s="17"/>
      <c r="C268" s="17"/>
      <c r="D268" s="17"/>
      <c r="E268" s="17"/>
      <c r="F268" s="17"/>
      <c r="G268" s="17"/>
      <c r="M268" s="17"/>
      <c r="N268" s="17"/>
      <c r="O268" s="17"/>
      <c r="P268" s="17"/>
      <c r="Q268" s="17"/>
      <c r="R268" s="17"/>
    </row>
    <row r="269">
      <c r="A269" s="18"/>
      <c r="B269" s="17"/>
      <c r="C269" s="17"/>
      <c r="D269" s="17"/>
      <c r="E269" s="17"/>
      <c r="F269" s="17"/>
      <c r="G269" s="17"/>
      <c r="M269" s="17"/>
      <c r="N269" s="17"/>
      <c r="O269" s="17"/>
      <c r="P269" s="17"/>
      <c r="Q269" s="17"/>
      <c r="R269" s="17"/>
    </row>
    <row r="270">
      <c r="A270" s="18"/>
      <c r="B270" s="17"/>
      <c r="C270" s="17"/>
      <c r="D270" s="17"/>
      <c r="E270" s="17"/>
      <c r="F270" s="17"/>
      <c r="G270" s="17"/>
      <c r="M270" s="17"/>
      <c r="N270" s="17"/>
      <c r="O270" s="17"/>
      <c r="P270" s="17"/>
      <c r="Q270" s="17"/>
      <c r="R270" s="17"/>
    </row>
    <row r="271">
      <c r="A271" s="18"/>
      <c r="B271" s="17"/>
      <c r="C271" s="17"/>
      <c r="D271" s="17"/>
      <c r="E271" s="17"/>
      <c r="F271" s="17"/>
      <c r="G271" s="17"/>
      <c r="M271" s="17"/>
      <c r="N271" s="17"/>
      <c r="O271" s="17"/>
      <c r="P271" s="17"/>
      <c r="Q271" s="17"/>
      <c r="R271" s="17"/>
    </row>
    <row r="272">
      <c r="A272" s="18"/>
      <c r="B272" s="17"/>
      <c r="C272" s="17"/>
      <c r="D272" s="17"/>
      <c r="E272" s="17"/>
      <c r="F272" s="17"/>
      <c r="G272" s="17"/>
      <c r="M272" s="17"/>
      <c r="N272" s="17"/>
      <c r="O272" s="17"/>
      <c r="P272" s="17"/>
      <c r="Q272" s="17"/>
      <c r="R272" s="17"/>
    </row>
    <row r="273">
      <c r="A273" s="18"/>
      <c r="B273" s="17"/>
      <c r="C273" s="17"/>
      <c r="D273" s="17"/>
      <c r="E273" s="17"/>
      <c r="F273" s="17"/>
      <c r="G273" s="17"/>
      <c r="M273" s="17"/>
      <c r="N273" s="17"/>
      <c r="O273" s="17"/>
      <c r="P273" s="17"/>
      <c r="Q273" s="17"/>
      <c r="R273" s="17"/>
    </row>
    <row r="274">
      <c r="A274" s="18"/>
      <c r="B274" s="17"/>
      <c r="C274" s="17"/>
      <c r="D274" s="17"/>
      <c r="E274" s="17"/>
      <c r="F274" s="17"/>
      <c r="G274" s="17"/>
      <c r="M274" s="17"/>
      <c r="N274" s="17"/>
      <c r="O274" s="17"/>
      <c r="P274" s="17"/>
      <c r="Q274" s="17"/>
      <c r="R274" s="17"/>
    </row>
    <row r="275">
      <c r="A275" s="18"/>
      <c r="B275" s="17"/>
      <c r="C275" s="17"/>
      <c r="D275" s="17"/>
      <c r="E275" s="17"/>
      <c r="F275" s="17"/>
      <c r="G275" s="17"/>
      <c r="M275" s="17"/>
      <c r="N275" s="17"/>
      <c r="O275" s="17"/>
      <c r="P275" s="17"/>
      <c r="Q275" s="17"/>
      <c r="R275" s="17"/>
    </row>
    <row r="276">
      <c r="A276" s="18"/>
      <c r="B276" s="17"/>
      <c r="C276" s="17"/>
      <c r="D276" s="17"/>
      <c r="E276" s="17"/>
      <c r="F276" s="17"/>
      <c r="G276" s="17"/>
      <c r="M276" s="17"/>
      <c r="N276" s="17"/>
      <c r="O276" s="17"/>
      <c r="P276" s="17"/>
      <c r="Q276" s="17"/>
      <c r="R276" s="17"/>
    </row>
    <row r="277">
      <c r="A277" s="18"/>
      <c r="B277" s="17"/>
      <c r="C277" s="17"/>
      <c r="D277" s="17"/>
      <c r="E277" s="17"/>
      <c r="F277" s="17"/>
      <c r="G277" s="17"/>
      <c r="M277" s="17"/>
      <c r="N277" s="17"/>
      <c r="O277" s="17"/>
      <c r="P277" s="17"/>
      <c r="Q277" s="17"/>
      <c r="R277" s="17"/>
    </row>
    <row r="278">
      <c r="A278" s="18"/>
      <c r="B278" s="17"/>
      <c r="C278" s="17"/>
      <c r="D278" s="17"/>
      <c r="E278" s="17"/>
      <c r="F278" s="17"/>
      <c r="G278" s="17"/>
      <c r="M278" s="17"/>
      <c r="N278" s="17"/>
      <c r="O278" s="17"/>
      <c r="P278" s="17"/>
      <c r="Q278" s="17"/>
      <c r="R278" s="17"/>
    </row>
    <row r="279">
      <c r="A279" s="18"/>
      <c r="B279" s="17"/>
      <c r="C279" s="17"/>
      <c r="D279" s="17"/>
      <c r="E279" s="17"/>
      <c r="F279" s="17"/>
      <c r="G279" s="17"/>
      <c r="M279" s="17"/>
      <c r="N279" s="17"/>
      <c r="O279" s="17"/>
      <c r="P279" s="17"/>
      <c r="Q279" s="17"/>
      <c r="R279" s="17"/>
    </row>
    <row r="280">
      <c r="A280" s="18"/>
      <c r="B280" s="17"/>
      <c r="C280" s="17"/>
      <c r="D280" s="17"/>
      <c r="E280" s="17"/>
      <c r="F280" s="17"/>
      <c r="G280" s="17"/>
      <c r="M280" s="17"/>
      <c r="N280" s="17"/>
      <c r="O280" s="17"/>
      <c r="P280" s="17"/>
      <c r="Q280" s="17"/>
      <c r="R280" s="17"/>
    </row>
    <row r="281">
      <c r="A281" s="18"/>
      <c r="B281" s="17"/>
      <c r="C281" s="17"/>
      <c r="D281" s="17"/>
      <c r="E281" s="17"/>
      <c r="F281" s="17"/>
      <c r="G281" s="17"/>
      <c r="M281" s="17"/>
      <c r="N281" s="17"/>
      <c r="O281" s="17"/>
      <c r="P281" s="17"/>
      <c r="Q281" s="17"/>
      <c r="R281" s="17"/>
    </row>
    <row r="282">
      <c r="A282" s="18"/>
      <c r="B282" s="17"/>
      <c r="C282" s="17"/>
      <c r="D282" s="17"/>
      <c r="E282" s="17"/>
      <c r="F282" s="17"/>
      <c r="G282" s="17"/>
      <c r="M282" s="17"/>
      <c r="N282" s="17"/>
      <c r="O282" s="17"/>
      <c r="P282" s="17"/>
      <c r="Q282" s="17"/>
      <c r="R282" s="17"/>
    </row>
    <row r="283">
      <c r="A283" s="18"/>
      <c r="B283" s="17"/>
      <c r="C283" s="17"/>
      <c r="D283" s="17"/>
      <c r="E283" s="17"/>
      <c r="F283" s="17"/>
      <c r="G283" s="17"/>
      <c r="M283" s="17"/>
      <c r="N283" s="17"/>
      <c r="O283" s="17"/>
      <c r="P283" s="17"/>
      <c r="Q283" s="17"/>
      <c r="R283" s="17"/>
    </row>
    <row r="284">
      <c r="A284" s="18"/>
      <c r="B284" s="17"/>
      <c r="C284" s="17"/>
      <c r="D284" s="17"/>
      <c r="E284" s="17"/>
      <c r="F284" s="17"/>
      <c r="G284" s="17"/>
      <c r="M284" s="17"/>
      <c r="N284" s="17"/>
      <c r="O284" s="17"/>
      <c r="P284" s="17"/>
      <c r="Q284" s="17"/>
      <c r="R284" s="17"/>
    </row>
    <row r="285">
      <c r="A285" s="18"/>
      <c r="B285" s="17"/>
      <c r="C285" s="17"/>
      <c r="D285" s="17"/>
      <c r="E285" s="17"/>
      <c r="F285" s="17"/>
      <c r="G285" s="17"/>
      <c r="M285" s="17"/>
      <c r="N285" s="17"/>
      <c r="O285" s="17"/>
      <c r="P285" s="17"/>
      <c r="Q285" s="17"/>
      <c r="R285" s="17"/>
    </row>
    <row r="286">
      <c r="A286" s="18"/>
      <c r="B286" s="17"/>
      <c r="C286" s="17"/>
      <c r="D286" s="17"/>
      <c r="E286" s="17"/>
      <c r="F286" s="17"/>
      <c r="G286" s="17"/>
      <c r="M286" s="17"/>
      <c r="N286" s="17"/>
      <c r="O286" s="17"/>
      <c r="P286" s="17"/>
      <c r="Q286" s="17"/>
      <c r="R286" s="17"/>
    </row>
    <row r="287">
      <c r="A287" s="18"/>
      <c r="B287" s="17"/>
      <c r="C287" s="17"/>
      <c r="D287" s="17"/>
      <c r="E287" s="17"/>
      <c r="F287" s="17"/>
      <c r="G287" s="17"/>
      <c r="M287" s="17"/>
      <c r="N287" s="17"/>
      <c r="O287" s="17"/>
      <c r="P287" s="17"/>
      <c r="Q287" s="17"/>
      <c r="R287" s="17"/>
    </row>
    <row r="288">
      <c r="A288" s="18"/>
      <c r="B288" s="17"/>
      <c r="C288" s="17"/>
      <c r="D288" s="17"/>
      <c r="E288" s="17"/>
      <c r="F288" s="17"/>
      <c r="G288" s="17"/>
      <c r="M288" s="17"/>
      <c r="N288" s="17"/>
      <c r="O288" s="17"/>
      <c r="P288" s="17"/>
      <c r="Q288" s="17"/>
      <c r="R288" s="17"/>
    </row>
    <row r="289">
      <c r="A289" s="18"/>
      <c r="B289" s="17"/>
      <c r="C289" s="17"/>
      <c r="D289" s="17"/>
      <c r="E289" s="17"/>
      <c r="F289" s="17"/>
      <c r="G289" s="17"/>
      <c r="M289" s="17"/>
      <c r="N289" s="17"/>
      <c r="O289" s="17"/>
      <c r="P289" s="17"/>
      <c r="Q289" s="17"/>
      <c r="R289" s="17"/>
    </row>
    <row r="290">
      <c r="A290" s="18"/>
      <c r="B290" s="17"/>
      <c r="C290" s="17"/>
      <c r="D290" s="17"/>
      <c r="E290" s="17"/>
      <c r="F290" s="17"/>
      <c r="G290" s="17"/>
      <c r="M290" s="17"/>
      <c r="N290" s="17"/>
      <c r="O290" s="17"/>
      <c r="P290" s="17"/>
      <c r="Q290" s="17"/>
      <c r="R290" s="17"/>
    </row>
    <row r="291">
      <c r="A291" s="18"/>
      <c r="B291" s="17"/>
      <c r="C291" s="17"/>
      <c r="D291" s="17"/>
      <c r="E291" s="17"/>
      <c r="F291" s="17"/>
      <c r="G291" s="17"/>
      <c r="M291" s="17"/>
      <c r="N291" s="17"/>
      <c r="O291" s="17"/>
      <c r="P291" s="17"/>
      <c r="Q291" s="17"/>
      <c r="R291" s="17"/>
    </row>
    <row r="292">
      <c r="A292" s="18"/>
      <c r="B292" s="17"/>
      <c r="C292" s="17"/>
      <c r="D292" s="17"/>
      <c r="E292" s="17"/>
      <c r="F292" s="17"/>
      <c r="G292" s="17"/>
      <c r="M292" s="17"/>
      <c r="N292" s="17"/>
      <c r="O292" s="17"/>
      <c r="P292" s="17"/>
      <c r="Q292" s="17"/>
      <c r="R292" s="17"/>
    </row>
    <row r="293">
      <c r="A293" s="18"/>
      <c r="B293" s="17"/>
      <c r="C293" s="17"/>
      <c r="D293" s="17"/>
      <c r="E293" s="17"/>
      <c r="F293" s="17"/>
      <c r="G293" s="17"/>
      <c r="M293" s="17"/>
      <c r="N293" s="17"/>
      <c r="O293" s="17"/>
      <c r="P293" s="17"/>
      <c r="Q293" s="17"/>
      <c r="R293" s="17"/>
    </row>
    <row r="294">
      <c r="A294" s="18"/>
      <c r="B294" s="17"/>
      <c r="C294" s="17"/>
      <c r="D294" s="17"/>
      <c r="E294" s="17"/>
      <c r="F294" s="17"/>
      <c r="G294" s="17"/>
      <c r="M294" s="17"/>
      <c r="N294" s="17"/>
      <c r="O294" s="17"/>
      <c r="P294" s="17"/>
      <c r="Q294" s="17"/>
      <c r="R294" s="17"/>
    </row>
    <row r="295">
      <c r="A295" s="18"/>
      <c r="B295" s="17"/>
      <c r="C295" s="17"/>
      <c r="D295" s="17"/>
      <c r="E295" s="17"/>
      <c r="F295" s="17"/>
      <c r="G295" s="17"/>
      <c r="M295" s="17"/>
      <c r="N295" s="17"/>
      <c r="O295" s="17"/>
      <c r="P295" s="17"/>
      <c r="Q295" s="17"/>
      <c r="R295" s="17"/>
    </row>
    <row r="296">
      <c r="A296" s="18"/>
      <c r="B296" s="17"/>
      <c r="C296" s="17"/>
      <c r="D296" s="17"/>
      <c r="E296" s="17"/>
      <c r="F296" s="17"/>
      <c r="G296" s="17"/>
      <c r="M296" s="17"/>
      <c r="N296" s="17"/>
      <c r="O296" s="17"/>
      <c r="P296" s="17"/>
      <c r="Q296" s="17"/>
      <c r="R296" s="17"/>
    </row>
    <row r="297">
      <c r="A297" s="18"/>
      <c r="B297" s="17"/>
      <c r="C297" s="17"/>
      <c r="D297" s="17"/>
      <c r="E297" s="17"/>
      <c r="F297" s="17"/>
      <c r="G297" s="17"/>
      <c r="M297" s="17"/>
      <c r="N297" s="17"/>
      <c r="O297" s="17"/>
      <c r="P297" s="17"/>
      <c r="Q297" s="17"/>
      <c r="R297" s="17"/>
    </row>
    <row r="298">
      <c r="A298" s="18"/>
      <c r="B298" s="17"/>
      <c r="C298" s="17"/>
      <c r="D298" s="17"/>
      <c r="E298" s="17"/>
      <c r="F298" s="17"/>
      <c r="G298" s="17"/>
      <c r="M298" s="17"/>
      <c r="N298" s="17"/>
      <c r="O298" s="17"/>
      <c r="P298" s="17"/>
      <c r="Q298" s="17"/>
      <c r="R298" s="17"/>
    </row>
    <row r="299">
      <c r="A299" s="18"/>
      <c r="B299" s="17"/>
      <c r="C299" s="17"/>
      <c r="D299" s="17"/>
      <c r="E299" s="17"/>
      <c r="F299" s="17"/>
      <c r="G299" s="17"/>
      <c r="M299" s="17"/>
      <c r="N299" s="17"/>
      <c r="O299" s="17"/>
      <c r="P299" s="17"/>
      <c r="Q299" s="17"/>
      <c r="R299" s="17"/>
    </row>
    <row r="300">
      <c r="A300" s="18"/>
      <c r="B300" s="17"/>
      <c r="C300" s="17"/>
      <c r="D300" s="17"/>
      <c r="E300" s="17"/>
      <c r="F300" s="17"/>
      <c r="G300" s="17"/>
      <c r="M300" s="17"/>
      <c r="N300" s="17"/>
      <c r="O300" s="17"/>
      <c r="P300" s="17"/>
      <c r="Q300" s="17"/>
      <c r="R300" s="17"/>
    </row>
    <row r="301">
      <c r="A301" s="18"/>
      <c r="B301" s="17"/>
      <c r="C301" s="17"/>
      <c r="D301" s="17"/>
      <c r="E301" s="17"/>
      <c r="F301" s="17"/>
      <c r="G301" s="17"/>
      <c r="M301" s="17"/>
      <c r="N301" s="17"/>
      <c r="O301" s="17"/>
      <c r="P301" s="17"/>
      <c r="Q301" s="17"/>
      <c r="R301" s="17"/>
    </row>
    <row r="302">
      <c r="A302" s="18"/>
      <c r="B302" s="17"/>
      <c r="C302" s="17"/>
      <c r="D302" s="17"/>
      <c r="E302" s="17"/>
      <c r="F302" s="17"/>
      <c r="G302" s="17"/>
      <c r="M302" s="17"/>
      <c r="N302" s="17"/>
      <c r="O302" s="17"/>
      <c r="P302" s="17"/>
      <c r="Q302" s="17"/>
      <c r="R302" s="17"/>
    </row>
    <row r="303">
      <c r="A303" s="18"/>
      <c r="B303" s="17"/>
      <c r="C303" s="17"/>
      <c r="D303" s="17"/>
      <c r="E303" s="17"/>
      <c r="F303" s="17"/>
      <c r="G303" s="17"/>
      <c r="M303" s="17"/>
      <c r="N303" s="17"/>
      <c r="O303" s="17"/>
      <c r="P303" s="17"/>
      <c r="Q303" s="17"/>
      <c r="R303" s="17"/>
    </row>
    <row r="304">
      <c r="A304" s="18"/>
      <c r="B304" s="17"/>
      <c r="C304" s="17"/>
      <c r="D304" s="17"/>
      <c r="E304" s="17"/>
      <c r="F304" s="17"/>
      <c r="G304" s="17"/>
      <c r="M304" s="17"/>
      <c r="N304" s="17"/>
      <c r="O304" s="17"/>
      <c r="P304" s="17"/>
      <c r="Q304" s="17"/>
      <c r="R304" s="17"/>
    </row>
    <row r="305">
      <c r="A305" s="18"/>
      <c r="B305" s="17"/>
      <c r="C305" s="17"/>
      <c r="D305" s="17"/>
      <c r="E305" s="17"/>
      <c r="F305" s="17"/>
      <c r="G305" s="17"/>
      <c r="M305" s="17"/>
      <c r="N305" s="17"/>
      <c r="O305" s="17"/>
      <c r="P305" s="17"/>
      <c r="Q305" s="17"/>
      <c r="R305" s="17"/>
    </row>
    <row r="306">
      <c r="A306" s="18"/>
      <c r="B306" s="17"/>
      <c r="C306" s="17"/>
      <c r="D306" s="17"/>
      <c r="E306" s="17"/>
      <c r="F306" s="17"/>
      <c r="G306" s="17"/>
      <c r="M306" s="17"/>
      <c r="N306" s="17"/>
      <c r="O306" s="17"/>
      <c r="P306" s="17"/>
      <c r="Q306" s="17"/>
      <c r="R306" s="17"/>
    </row>
    <row r="307">
      <c r="A307" s="18"/>
      <c r="B307" s="17"/>
      <c r="C307" s="17"/>
      <c r="D307" s="17"/>
      <c r="E307" s="17"/>
      <c r="F307" s="17"/>
      <c r="G307" s="17"/>
      <c r="M307" s="17"/>
      <c r="N307" s="17"/>
      <c r="O307" s="17"/>
      <c r="P307" s="17"/>
      <c r="Q307" s="17"/>
      <c r="R307" s="17"/>
    </row>
    <row r="308">
      <c r="A308" s="18"/>
      <c r="B308" s="17"/>
      <c r="C308" s="17"/>
      <c r="D308" s="17"/>
      <c r="E308" s="17"/>
      <c r="F308" s="17"/>
      <c r="G308" s="17"/>
      <c r="M308" s="17"/>
      <c r="N308" s="17"/>
      <c r="O308" s="17"/>
      <c r="P308" s="17"/>
      <c r="Q308" s="17"/>
      <c r="R308" s="17"/>
    </row>
    <row r="309">
      <c r="A309" s="18"/>
      <c r="B309" s="17"/>
      <c r="C309" s="17"/>
      <c r="D309" s="17"/>
      <c r="E309" s="17"/>
      <c r="F309" s="17"/>
      <c r="G309" s="17"/>
      <c r="M309" s="17"/>
      <c r="N309" s="17"/>
      <c r="O309" s="17"/>
      <c r="P309" s="17"/>
      <c r="Q309" s="17"/>
      <c r="R309" s="17"/>
    </row>
    <row r="310">
      <c r="A310" s="18"/>
      <c r="B310" s="17"/>
      <c r="C310" s="17"/>
      <c r="D310" s="17"/>
      <c r="E310" s="17"/>
      <c r="F310" s="17"/>
      <c r="G310" s="17"/>
      <c r="M310" s="17"/>
      <c r="N310" s="17"/>
      <c r="O310" s="17"/>
      <c r="P310" s="17"/>
      <c r="Q310" s="17"/>
      <c r="R310" s="17"/>
    </row>
    <row r="311">
      <c r="A311" s="18"/>
      <c r="B311" s="17"/>
      <c r="C311" s="17"/>
      <c r="D311" s="17"/>
      <c r="E311" s="17"/>
      <c r="F311" s="17"/>
      <c r="G311" s="17"/>
      <c r="M311" s="17"/>
      <c r="N311" s="17"/>
      <c r="O311" s="17"/>
      <c r="P311" s="17"/>
      <c r="Q311" s="17"/>
      <c r="R311" s="17"/>
    </row>
    <row r="312">
      <c r="A312" s="18"/>
      <c r="B312" s="17"/>
      <c r="C312" s="17"/>
      <c r="D312" s="17"/>
      <c r="E312" s="17"/>
      <c r="F312" s="17"/>
      <c r="G312" s="17"/>
      <c r="M312" s="17"/>
      <c r="N312" s="17"/>
      <c r="O312" s="17"/>
      <c r="P312" s="17"/>
      <c r="Q312" s="17"/>
      <c r="R312" s="17"/>
    </row>
    <row r="313">
      <c r="A313" s="18"/>
      <c r="B313" s="17"/>
      <c r="C313" s="17"/>
      <c r="D313" s="17"/>
      <c r="E313" s="17"/>
      <c r="F313" s="17"/>
      <c r="G313" s="17"/>
      <c r="M313" s="17"/>
      <c r="N313" s="17"/>
      <c r="O313" s="17"/>
      <c r="P313" s="17"/>
      <c r="Q313" s="17"/>
      <c r="R313" s="17"/>
    </row>
    <row r="314">
      <c r="A314" s="18"/>
      <c r="B314" s="17"/>
      <c r="C314" s="17"/>
      <c r="D314" s="17"/>
      <c r="E314" s="17"/>
      <c r="F314" s="17"/>
      <c r="G314" s="17"/>
      <c r="M314" s="17"/>
      <c r="N314" s="17"/>
      <c r="O314" s="17"/>
      <c r="P314" s="17"/>
      <c r="Q314" s="17"/>
      <c r="R314" s="17"/>
    </row>
    <row r="315">
      <c r="A315" s="18"/>
      <c r="B315" s="17"/>
      <c r="C315" s="17"/>
      <c r="D315" s="17"/>
      <c r="E315" s="17"/>
      <c r="F315" s="17"/>
      <c r="G315" s="17"/>
      <c r="M315" s="17"/>
      <c r="N315" s="17"/>
      <c r="O315" s="17"/>
      <c r="P315" s="17"/>
      <c r="Q315" s="17"/>
      <c r="R315" s="17"/>
    </row>
    <row r="316">
      <c r="A316" s="18"/>
      <c r="B316" s="17"/>
      <c r="C316" s="17"/>
      <c r="D316" s="17"/>
      <c r="E316" s="17"/>
      <c r="F316" s="17"/>
      <c r="G316" s="17"/>
      <c r="M316" s="17"/>
      <c r="N316" s="17"/>
      <c r="O316" s="17"/>
      <c r="P316" s="17"/>
      <c r="Q316" s="17"/>
      <c r="R316" s="17"/>
    </row>
    <row r="317">
      <c r="A317" s="18"/>
      <c r="B317" s="17"/>
      <c r="C317" s="17"/>
      <c r="D317" s="17"/>
      <c r="E317" s="17"/>
      <c r="F317" s="17"/>
      <c r="G317" s="17"/>
      <c r="M317" s="17"/>
      <c r="N317" s="17"/>
      <c r="O317" s="17"/>
      <c r="P317" s="17"/>
      <c r="Q317" s="17"/>
      <c r="R317" s="17"/>
    </row>
    <row r="318">
      <c r="A318" s="18"/>
      <c r="B318" s="17"/>
      <c r="C318" s="17"/>
      <c r="D318" s="17"/>
      <c r="E318" s="17"/>
      <c r="F318" s="17"/>
      <c r="G318" s="17"/>
      <c r="M318" s="17"/>
      <c r="N318" s="17"/>
      <c r="O318" s="17"/>
      <c r="P318" s="17"/>
      <c r="Q318" s="17"/>
      <c r="R318" s="17"/>
    </row>
    <row r="319">
      <c r="A319" s="18"/>
      <c r="B319" s="17"/>
      <c r="C319" s="17"/>
      <c r="D319" s="17"/>
      <c r="E319" s="17"/>
      <c r="F319" s="17"/>
      <c r="G319" s="17"/>
      <c r="M319" s="17"/>
      <c r="N319" s="17"/>
      <c r="O319" s="17"/>
      <c r="P319" s="17"/>
      <c r="Q319" s="17"/>
      <c r="R319" s="17"/>
    </row>
    <row r="320">
      <c r="A320" s="18"/>
      <c r="B320" s="17"/>
      <c r="C320" s="17"/>
      <c r="D320" s="17"/>
      <c r="E320" s="17"/>
      <c r="F320" s="17"/>
      <c r="G320" s="17"/>
      <c r="M320" s="17"/>
      <c r="N320" s="17"/>
      <c r="O320" s="17"/>
      <c r="P320" s="17"/>
      <c r="Q320" s="17"/>
      <c r="R320" s="17"/>
    </row>
    <row r="321">
      <c r="A321" s="18"/>
      <c r="B321" s="17"/>
      <c r="C321" s="17"/>
      <c r="D321" s="17"/>
      <c r="E321" s="17"/>
      <c r="F321" s="17"/>
      <c r="G321" s="17"/>
      <c r="M321" s="17"/>
      <c r="N321" s="17"/>
      <c r="O321" s="17"/>
      <c r="P321" s="17"/>
      <c r="Q321" s="17"/>
      <c r="R321" s="17"/>
    </row>
    <row r="322">
      <c r="A322" s="18"/>
      <c r="B322" s="17"/>
      <c r="C322" s="17"/>
      <c r="D322" s="17"/>
      <c r="E322" s="17"/>
      <c r="F322" s="17"/>
      <c r="G322" s="17"/>
      <c r="M322" s="17"/>
      <c r="N322" s="17"/>
      <c r="O322" s="17"/>
      <c r="P322" s="17"/>
      <c r="Q322" s="17"/>
      <c r="R322" s="17"/>
    </row>
    <row r="323">
      <c r="A323" s="18"/>
      <c r="B323" s="17"/>
      <c r="C323" s="17"/>
      <c r="D323" s="17"/>
      <c r="E323" s="17"/>
      <c r="F323" s="17"/>
      <c r="G323" s="17"/>
      <c r="M323" s="17"/>
      <c r="N323" s="17"/>
      <c r="O323" s="17"/>
      <c r="P323" s="17"/>
      <c r="Q323" s="17"/>
      <c r="R323" s="17"/>
    </row>
    <row r="324">
      <c r="A324" s="18"/>
      <c r="B324" s="17"/>
      <c r="C324" s="17"/>
      <c r="D324" s="17"/>
      <c r="E324" s="17"/>
      <c r="F324" s="17"/>
      <c r="G324" s="17"/>
      <c r="M324" s="17"/>
      <c r="N324" s="17"/>
      <c r="O324" s="17"/>
      <c r="P324" s="17"/>
      <c r="Q324" s="17"/>
      <c r="R324" s="17"/>
    </row>
    <row r="325">
      <c r="A325" s="18"/>
      <c r="B325" s="17"/>
      <c r="C325" s="17"/>
      <c r="D325" s="17"/>
      <c r="E325" s="17"/>
      <c r="F325" s="17"/>
      <c r="G325" s="17"/>
      <c r="M325" s="17"/>
      <c r="N325" s="17"/>
      <c r="O325" s="17"/>
      <c r="P325" s="17"/>
      <c r="Q325" s="17"/>
      <c r="R325" s="17"/>
    </row>
    <row r="326">
      <c r="A326" s="18"/>
      <c r="B326" s="17"/>
      <c r="C326" s="17"/>
      <c r="D326" s="17"/>
      <c r="E326" s="17"/>
      <c r="F326" s="17"/>
      <c r="G326" s="17"/>
      <c r="M326" s="17"/>
      <c r="N326" s="17"/>
      <c r="O326" s="17"/>
      <c r="P326" s="17"/>
      <c r="Q326" s="17"/>
      <c r="R326" s="17"/>
    </row>
    <row r="327">
      <c r="A327" s="18"/>
      <c r="B327" s="17"/>
      <c r="C327" s="17"/>
      <c r="D327" s="17"/>
      <c r="E327" s="17"/>
      <c r="F327" s="17"/>
      <c r="G327" s="17"/>
      <c r="M327" s="17"/>
      <c r="N327" s="17"/>
      <c r="O327" s="17"/>
      <c r="P327" s="17"/>
      <c r="Q327" s="17"/>
      <c r="R327" s="17"/>
    </row>
    <row r="328">
      <c r="A328" s="18"/>
      <c r="B328" s="17"/>
      <c r="C328" s="17"/>
      <c r="D328" s="17"/>
      <c r="E328" s="17"/>
      <c r="F328" s="17"/>
      <c r="G328" s="17"/>
      <c r="M328" s="17"/>
      <c r="N328" s="17"/>
      <c r="O328" s="17"/>
      <c r="P328" s="17"/>
      <c r="Q328" s="17"/>
      <c r="R328" s="17"/>
    </row>
    <row r="329">
      <c r="A329" s="18"/>
      <c r="B329" s="17"/>
      <c r="C329" s="17"/>
      <c r="D329" s="17"/>
      <c r="E329" s="17"/>
      <c r="F329" s="17"/>
      <c r="G329" s="17"/>
      <c r="M329" s="17"/>
      <c r="N329" s="17"/>
      <c r="O329" s="17"/>
      <c r="P329" s="17"/>
      <c r="Q329" s="17"/>
      <c r="R329" s="17"/>
    </row>
    <row r="330">
      <c r="A330" s="18"/>
      <c r="B330" s="17"/>
      <c r="C330" s="17"/>
      <c r="D330" s="17"/>
      <c r="E330" s="17"/>
      <c r="F330" s="17"/>
      <c r="G330" s="17"/>
      <c r="M330" s="17"/>
      <c r="N330" s="17"/>
      <c r="O330" s="17"/>
      <c r="P330" s="17"/>
      <c r="Q330" s="17"/>
      <c r="R330" s="17"/>
    </row>
    <row r="331">
      <c r="A331" s="18"/>
      <c r="B331" s="17"/>
      <c r="C331" s="17"/>
      <c r="D331" s="17"/>
      <c r="E331" s="17"/>
      <c r="F331" s="17"/>
      <c r="G331" s="17"/>
      <c r="M331" s="17"/>
      <c r="N331" s="17"/>
      <c r="O331" s="17"/>
      <c r="P331" s="17"/>
      <c r="Q331" s="17"/>
      <c r="R331" s="17"/>
    </row>
    <row r="332">
      <c r="A332" s="18"/>
      <c r="B332" s="17"/>
      <c r="C332" s="17"/>
      <c r="D332" s="17"/>
      <c r="E332" s="17"/>
      <c r="F332" s="17"/>
      <c r="G332" s="17"/>
      <c r="M332" s="17"/>
      <c r="N332" s="17"/>
      <c r="O332" s="17"/>
      <c r="P332" s="17"/>
      <c r="Q332" s="17"/>
      <c r="R332" s="17"/>
    </row>
    <row r="333">
      <c r="A333" s="18"/>
      <c r="B333" s="17"/>
      <c r="C333" s="17"/>
      <c r="D333" s="17"/>
      <c r="E333" s="17"/>
      <c r="F333" s="17"/>
      <c r="G333" s="17"/>
      <c r="M333" s="17"/>
      <c r="N333" s="17"/>
      <c r="O333" s="17"/>
      <c r="P333" s="17"/>
      <c r="Q333" s="17"/>
      <c r="R333" s="17"/>
    </row>
    <row r="334">
      <c r="A334" s="18"/>
      <c r="B334" s="17"/>
      <c r="C334" s="17"/>
      <c r="D334" s="17"/>
      <c r="E334" s="17"/>
      <c r="F334" s="17"/>
      <c r="G334" s="17"/>
      <c r="M334" s="17"/>
      <c r="N334" s="17"/>
      <c r="O334" s="17"/>
      <c r="P334" s="17"/>
      <c r="Q334" s="17"/>
      <c r="R334" s="17"/>
    </row>
    <row r="335">
      <c r="A335" s="18"/>
      <c r="B335" s="17"/>
      <c r="C335" s="17"/>
      <c r="D335" s="17"/>
      <c r="E335" s="17"/>
      <c r="F335" s="17"/>
      <c r="G335" s="17"/>
      <c r="M335" s="17"/>
      <c r="N335" s="17"/>
      <c r="O335" s="17"/>
      <c r="P335" s="17"/>
      <c r="Q335" s="17"/>
      <c r="R335" s="17"/>
    </row>
    <row r="336">
      <c r="A336" s="18"/>
      <c r="B336" s="17"/>
      <c r="C336" s="17"/>
      <c r="D336" s="17"/>
      <c r="E336" s="17"/>
      <c r="F336" s="17"/>
      <c r="G336" s="17"/>
      <c r="M336" s="17"/>
      <c r="N336" s="17"/>
      <c r="O336" s="17"/>
      <c r="P336" s="17"/>
      <c r="Q336" s="17"/>
      <c r="R336" s="17"/>
    </row>
    <row r="337">
      <c r="A337" s="18"/>
      <c r="B337" s="17"/>
      <c r="C337" s="17"/>
      <c r="D337" s="17"/>
      <c r="E337" s="17"/>
      <c r="F337" s="17"/>
      <c r="G337" s="17"/>
      <c r="M337" s="17"/>
      <c r="N337" s="17"/>
      <c r="O337" s="17"/>
      <c r="P337" s="17"/>
      <c r="Q337" s="17"/>
      <c r="R337" s="17"/>
    </row>
    <row r="338">
      <c r="A338" s="18"/>
      <c r="B338" s="17"/>
      <c r="C338" s="17"/>
      <c r="D338" s="17"/>
      <c r="E338" s="17"/>
      <c r="F338" s="17"/>
      <c r="G338" s="17"/>
      <c r="M338" s="17"/>
      <c r="N338" s="17"/>
      <c r="O338" s="17"/>
      <c r="P338" s="17"/>
      <c r="Q338" s="17"/>
      <c r="R338" s="17"/>
    </row>
    <row r="339">
      <c r="A339" s="18"/>
      <c r="B339" s="17"/>
      <c r="C339" s="17"/>
      <c r="D339" s="17"/>
      <c r="E339" s="17"/>
      <c r="F339" s="17"/>
      <c r="G339" s="17"/>
      <c r="M339" s="17"/>
      <c r="N339" s="17"/>
      <c r="O339" s="17"/>
      <c r="P339" s="17"/>
      <c r="Q339" s="17"/>
      <c r="R339" s="17"/>
    </row>
    <row r="340">
      <c r="A340" s="18"/>
      <c r="B340" s="17"/>
      <c r="C340" s="17"/>
      <c r="D340" s="17"/>
      <c r="E340" s="17"/>
      <c r="F340" s="17"/>
      <c r="G340" s="17"/>
      <c r="M340" s="17"/>
      <c r="N340" s="17"/>
      <c r="O340" s="17"/>
      <c r="P340" s="17"/>
      <c r="Q340" s="17"/>
      <c r="R340" s="17"/>
    </row>
    <row r="341">
      <c r="A341" s="18"/>
      <c r="B341" s="17"/>
      <c r="C341" s="17"/>
      <c r="D341" s="17"/>
      <c r="E341" s="17"/>
      <c r="F341" s="17"/>
      <c r="G341" s="17"/>
      <c r="M341" s="17"/>
      <c r="N341" s="17"/>
      <c r="O341" s="17"/>
      <c r="P341" s="17"/>
      <c r="Q341" s="17"/>
      <c r="R341" s="17"/>
    </row>
    <row r="342">
      <c r="A342" s="18"/>
      <c r="B342" s="17"/>
      <c r="C342" s="17"/>
      <c r="D342" s="17"/>
      <c r="E342" s="17"/>
      <c r="F342" s="17"/>
      <c r="G342" s="17"/>
      <c r="M342" s="17"/>
      <c r="N342" s="17"/>
      <c r="O342" s="17"/>
      <c r="P342" s="17"/>
      <c r="Q342" s="17"/>
      <c r="R342" s="17"/>
    </row>
    <row r="343">
      <c r="A343" s="18"/>
      <c r="B343" s="17"/>
      <c r="C343" s="17"/>
      <c r="D343" s="17"/>
      <c r="E343" s="17"/>
      <c r="F343" s="17"/>
      <c r="G343" s="17"/>
      <c r="M343" s="17"/>
      <c r="N343" s="17"/>
      <c r="O343" s="17"/>
      <c r="P343" s="17"/>
      <c r="Q343" s="17"/>
      <c r="R343" s="17"/>
    </row>
    <row r="344">
      <c r="A344" s="18"/>
      <c r="B344" s="17"/>
      <c r="C344" s="17"/>
      <c r="D344" s="17"/>
      <c r="E344" s="17"/>
      <c r="F344" s="17"/>
      <c r="G344" s="17"/>
      <c r="M344" s="17"/>
      <c r="N344" s="17"/>
      <c r="O344" s="17"/>
      <c r="P344" s="17"/>
      <c r="Q344" s="17"/>
      <c r="R344" s="17"/>
    </row>
    <row r="345">
      <c r="A345" s="18"/>
      <c r="B345" s="17"/>
      <c r="C345" s="17"/>
      <c r="D345" s="17"/>
      <c r="E345" s="17"/>
      <c r="F345" s="17"/>
      <c r="G345" s="17"/>
      <c r="M345" s="17"/>
      <c r="N345" s="17"/>
      <c r="O345" s="17"/>
      <c r="P345" s="17"/>
      <c r="Q345" s="17"/>
      <c r="R345" s="17"/>
    </row>
    <row r="346">
      <c r="A346" s="18"/>
      <c r="B346" s="17"/>
      <c r="C346" s="17"/>
      <c r="D346" s="17"/>
      <c r="E346" s="17"/>
      <c r="F346" s="17"/>
      <c r="G346" s="17"/>
      <c r="M346" s="17"/>
      <c r="N346" s="17"/>
      <c r="O346" s="17"/>
      <c r="P346" s="17"/>
      <c r="Q346" s="17"/>
      <c r="R346" s="17"/>
    </row>
    <row r="347">
      <c r="A347" s="18"/>
      <c r="B347" s="17"/>
      <c r="C347" s="17"/>
      <c r="D347" s="17"/>
      <c r="E347" s="17"/>
      <c r="F347" s="17"/>
      <c r="G347" s="17"/>
      <c r="M347" s="17"/>
      <c r="N347" s="17"/>
      <c r="O347" s="17"/>
      <c r="P347" s="17"/>
      <c r="Q347" s="17"/>
      <c r="R347" s="17"/>
    </row>
    <row r="348">
      <c r="A348" s="18"/>
      <c r="B348" s="17"/>
      <c r="C348" s="17"/>
      <c r="D348" s="17"/>
      <c r="E348" s="17"/>
      <c r="F348" s="17"/>
      <c r="G348" s="17"/>
      <c r="M348" s="17"/>
      <c r="N348" s="17"/>
      <c r="O348" s="17"/>
      <c r="P348" s="17"/>
      <c r="Q348" s="17"/>
      <c r="R348" s="17"/>
    </row>
    <row r="349">
      <c r="A349" s="18"/>
      <c r="B349" s="17"/>
      <c r="C349" s="17"/>
      <c r="D349" s="17"/>
      <c r="E349" s="17"/>
      <c r="F349" s="17"/>
      <c r="G349" s="17"/>
      <c r="M349" s="17"/>
      <c r="N349" s="17"/>
      <c r="O349" s="17"/>
      <c r="P349" s="17"/>
      <c r="Q349" s="17"/>
      <c r="R349" s="17"/>
    </row>
    <row r="350">
      <c r="A350" s="18"/>
      <c r="B350" s="17"/>
      <c r="C350" s="17"/>
      <c r="D350" s="17"/>
      <c r="E350" s="17"/>
      <c r="F350" s="17"/>
      <c r="G350" s="17"/>
      <c r="M350" s="17"/>
      <c r="N350" s="17"/>
      <c r="O350" s="17"/>
      <c r="P350" s="17"/>
      <c r="Q350" s="17"/>
      <c r="R350" s="17"/>
    </row>
    <row r="351">
      <c r="A351" s="18"/>
      <c r="B351" s="17"/>
      <c r="C351" s="17"/>
      <c r="D351" s="17"/>
      <c r="E351" s="17"/>
      <c r="F351" s="17"/>
      <c r="G351" s="17"/>
      <c r="M351" s="17"/>
      <c r="N351" s="17"/>
      <c r="O351" s="17"/>
      <c r="P351" s="17"/>
      <c r="Q351" s="17"/>
      <c r="R351" s="17"/>
    </row>
    <row r="352">
      <c r="A352" s="18"/>
      <c r="B352" s="17"/>
      <c r="C352" s="17"/>
      <c r="D352" s="17"/>
      <c r="E352" s="17"/>
      <c r="F352" s="17"/>
      <c r="G352" s="17"/>
      <c r="M352" s="17"/>
      <c r="N352" s="17"/>
      <c r="O352" s="17"/>
      <c r="P352" s="17"/>
      <c r="Q352" s="17"/>
      <c r="R352" s="17"/>
    </row>
    <row r="353">
      <c r="A353" s="18"/>
      <c r="B353" s="17"/>
      <c r="C353" s="17"/>
      <c r="D353" s="17"/>
      <c r="E353" s="17"/>
      <c r="F353" s="17"/>
      <c r="G353" s="17"/>
      <c r="M353" s="17"/>
      <c r="N353" s="17"/>
      <c r="O353" s="17"/>
      <c r="P353" s="17"/>
      <c r="Q353" s="17"/>
      <c r="R353" s="17"/>
    </row>
    <row r="354">
      <c r="A354" s="18"/>
      <c r="B354" s="17"/>
      <c r="C354" s="17"/>
      <c r="D354" s="17"/>
      <c r="E354" s="17"/>
      <c r="F354" s="17"/>
      <c r="G354" s="17"/>
      <c r="M354" s="17"/>
      <c r="N354" s="17"/>
      <c r="O354" s="17"/>
      <c r="P354" s="17"/>
      <c r="Q354" s="17"/>
      <c r="R354" s="17"/>
    </row>
    <row r="355">
      <c r="A355" s="18"/>
      <c r="B355" s="17"/>
      <c r="C355" s="17"/>
      <c r="D355" s="17"/>
      <c r="E355" s="17"/>
      <c r="F355" s="17"/>
      <c r="G355" s="17"/>
      <c r="M355" s="17"/>
      <c r="N355" s="17"/>
      <c r="O355" s="17"/>
      <c r="P355" s="17"/>
      <c r="Q355" s="17"/>
      <c r="R355" s="17"/>
    </row>
    <row r="356">
      <c r="A356" s="18"/>
      <c r="B356" s="17"/>
      <c r="C356" s="17"/>
      <c r="D356" s="17"/>
      <c r="E356" s="17"/>
      <c r="F356" s="17"/>
      <c r="G356" s="17"/>
      <c r="M356" s="17"/>
      <c r="N356" s="17"/>
      <c r="O356" s="17"/>
      <c r="P356" s="17"/>
      <c r="Q356" s="17"/>
      <c r="R356" s="17"/>
    </row>
    <row r="357">
      <c r="A357" s="18"/>
      <c r="B357" s="17"/>
      <c r="C357" s="17"/>
      <c r="D357" s="17"/>
      <c r="E357" s="17"/>
      <c r="F357" s="17"/>
      <c r="G357" s="17"/>
      <c r="M357" s="17"/>
      <c r="N357" s="17"/>
      <c r="O357" s="17"/>
      <c r="P357" s="17"/>
      <c r="Q357" s="17"/>
      <c r="R357" s="17"/>
    </row>
    <row r="358">
      <c r="A358" s="18"/>
      <c r="B358" s="17"/>
      <c r="C358" s="17"/>
      <c r="D358" s="17"/>
      <c r="E358" s="17"/>
      <c r="F358" s="17"/>
      <c r="G358" s="17"/>
      <c r="M358" s="17"/>
      <c r="N358" s="17"/>
      <c r="O358" s="17"/>
      <c r="P358" s="17"/>
      <c r="Q358" s="17"/>
      <c r="R358" s="17"/>
    </row>
    <row r="359">
      <c r="A359" s="18"/>
      <c r="B359" s="17"/>
      <c r="C359" s="17"/>
      <c r="D359" s="17"/>
      <c r="E359" s="17"/>
      <c r="F359" s="17"/>
      <c r="G359" s="17"/>
      <c r="M359" s="17"/>
      <c r="N359" s="17"/>
      <c r="O359" s="17"/>
      <c r="P359" s="17"/>
      <c r="Q359" s="17"/>
      <c r="R359" s="17"/>
    </row>
    <row r="360">
      <c r="A360" s="18"/>
      <c r="B360" s="17"/>
      <c r="C360" s="17"/>
      <c r="D360" s="17"/>
      <c r="E360" s="17"/>
      <c r="F360" s="17"/>
      <c r="G360" s="17"/>
      <c r="M360" s="17"/>
      <c r="N360" s="17"/>
      <c r="O360" s="17"/>
      <c r="P360" s="17"/>
      <c r="Q360" s="17"/>
      <c r="R360" s="17"/>
    </row>
    <row r="361">
      <c r="A361" s="18"/>
      <c r="B361" s="17"/>
      <c r="C361" s="17"/>
      <c r="D361" s="17"/>
      <c r="E361" s="17"/>
      <c r="F361" s="17"/>
      <c r="G361" s="17"/>
      <c r="M361" s="17"/>
      <c r="N361" s="17"/>
      <c r="O361" s="17"/>
      <c r="P361" s="17"/>
      <c r="Q361" s="17"/>
      <c r="R361" s="17"/>
    </row>
    <row r="362">
      <c r="A362" s="18"/>
      <c r="B362" s="17"/>
      <c r="C362" s="17"/>
      <c r="D362" s="17"/>
      <c r="E362" s="17"/>
      <c r="F362" s="17"/>
      <c r="G362" s="17"/>
      <c r="M362" s="17"/>
      <c r="N362" s="17"/>
      <c r="O362" s="17"/>
      <c r="P362" s="17"/>
      <c r="Q362" s="17"/>
      <c r="R362" s="17"/>
    </row>
    <row r="363">
      <c r="A363" s="18"/>
      <c r="B363" s="17"/>
      <c r="C363" s="17"/>
      <c r="D363" s="17"/>
      <c r="E363" s="17"/>
      <c r="F363" s="17"/>
      <c r="G363" s="17"/>
      <c r="M363" s="17"/>
      <c r="N363" s="17"/>
      <c r="O363" s="17"/>
      <c r="P363" s="17"/>
      <c r="Q363" s="17"/>
      <c r="R363" s="17"/>
    </row>
    <row r="364">
      <c r="A364" s="18"/>
      <c r="B364" s="17"/>
      <c r="C364" s="17"/>
      <c r="D364" s="17"/>
      <c r="E364" s="17"/>
      <c r="F364" s="17"/>
      <c r="G364" s="17"/>
      <c r="M364" s="17"/>
      <c r="N364" s="17"/>
      <c r="O364" s="17"/>
      <c r="P364" s="17"/>
      <c r="Q364" s="17"/>
      <c r="R364" s="17"/>
    </row>
    <row r="365">
      <c r="A365" s="18"/>
      <c r="B365" s="17"/>
      <c r="C365" s="17"/>
      <c r="D365" s="17"/>
      <c r="E365" s="17"/>
      <c r="F365" s="17"/>
      <c r="G365" s="17"/>
      <c r="M365" s="17"/>
      <c r="N365" s="17"/>
      <c r="O365" s="17"/>
      <c r="P365" s="17"/>
      <c r="Q365" s="17"/>
      <c r="R365" s="17"/>
    </row>
    <row r="366">
      <c r="A366" s="18"/>
      <c r="B366" s="17"/>
      <c r="C366" s="17"/>
      <c r="D366" s="17"/>
      <c r="E366" s="17"/>
      <c r="F366" s="17"/>
      <c r="G366" s="17"/>
      <c r="M366" s="17"/>
      <c r="N366" s="17"/>
      <c r="O366" s="17"/>
      <c r="P366" s="17"/>
      <c r="Q366" s="17"/>
      <c r="R366" s="17"/>
    </row>
    <row r="367">
      <c r="A367" s="18"/>
      <c r="B367" s="17"/>
      <c r="C367" s="17"/>
      <c r="D367" s="17"/>
      <c r="E367" s="17"/>
      <c r="F367" s="17"/>
      <c r="G367" s="17"/>
      <c r="M367" s="17"/>
      <c r="N367" s="17"/>
      <c r="O367" s="17"/>
      <c r="P367" s="17"/>
      <c r="Q367" s="17"/>
      <c r="R367" s="17"/>
    </row>
    <row r="368">
      <c r="A368" s="18"/>
      <c r="B368" s="17"/>
      <c r="C368" s="17"/>
      <c r="D368" s="17"/>
      <c r="E368" s="17"/>
      <c r="F368" s="17"/>
      <c r="G368" s="17"/>
      <c r="M368" s="17"/>
      <c r="N368" s="17"/>
      <c r="O368" s="17"/>
      <c r="P368" s="17"/>
      <c r="Q368" s="17"/>
      <c r="R368" s="17"/>
    </row>
    <row r="369">
      <c r="A369" s="18"/>
      <c r="B369" s="17"/>
      <c r="C369" s="17"/>
      <c r="D369" s="17"/>
      <c r="E369" s="17"/>
      <c r="F369" s="17"/>
      <c r="G369" s="17"/>
      <c r="M369" s="17"/>
      <c r="N369" s="17"/>
      <c r="O369" s="17"/>
      <c r="P369" s="17"/>
      <c r="Q369" s="17"/>
      <c r="R369" s="17"/>
    </row>
    <row r="370">
      <c r="A370" s="18"/>
      <c r="B370" s="17"/>
      <c r="C370" s="17"/>
      <c r="D370" s="17"/>
      <c r="E370" s="17"/>
      <c r="F370" s="17"/>
      <c r="G370" s="17"/>
      <c r="M370" s="17"/>
      <c r="N370" s="17"/>
      <c r="O370" s="17"/>
      <c r="P370" s="17"/>
      <c r="Q370" s="17"/>
      <c r="R370" s="17"/>
    </row>
    <row r="371">
      <c r="A371" s="18"/>
      <c r="B371" s="17"/>
      <c r="C371" s="17"/>
      <c r="D371" s="17"/>
      <c r="E371" s="17"/>
      <c r="F371" s="17"/>
      <c r="G371" s="17"/>
      <c r="M371" s="17"/>
      <c r="N371" s="17"/>
      <c r="O371" s="17"/>
      <c r="P371" s="17"/>
      <c r="Q371" s="17"/>
      <c r="R371" s="17"/>
    </row>
    <row r="372">
      <c r="A372" s="18"/>
      <c r="B372" s="17"/>
      <c r="C372" s="17"/>
      <c r="D372" s="17"/>
      <c r="E372" s="17"/>
      <c r="F372" s="17"/>
      <c r="G372" s="17"/>
      <c r="M372" s="17"/>
      <c r="N372" s="17"/>
      <c r="O372" s="17"/>
      <c r="P372" s="17"/>
      <c r="Q372" s="17"/>
      <c r="R372" s="17"/>
    </row>
    <row r="373">
      <c r="A373" s="18"/>
      <c r="B373" s="17"/>
      <c r="C373" s="17"/>
      <c r="D373" s="17"/>
      <c r="E373" s="17"/>
      <c r="F373" s="17"/>
      <c r="G373" s="17"/>
      <c r="M373" s="17"/>
      <c r="N373" s="17"/>
      <c r="O373" s="17"/>
      <c r="P373" s="17"/>
      <c r="Q373" s="17"/>
      <c r="R373" s="17"/>
    </row>
    <row r="374">
      <c r="A374" s="18"/>
      <c r="B374" s="17"/>
      <c r="C374" s="17"/>
      <c r="D374" s="17"/>
      <c r="E374" s="17"/>
      <c r="F374" s="17"/>
      <c r="G374" s="17"/>
      <c r="M374" s="17"/>
      <c r="N374" s="17"/>
      <c r="O374" s="17"/>
      <c r="P374" s="17"/>
      <c r="Q374" s="17"/>
      <c r="R374" s="17"/>
    </row>
    <row r="375">
      <c r="A375" s="18"/>
      <c r="B375" s="17"/>
      <c r="C375" s="17"/>
      <c r="D375" s="17"/>
      <c r="E375" s="17"/>
      <c r="F375" s="17"/>
      <c r="G375" s="17"/>
      <c r="M375" s="17"/>
      <c r="N375" s="17"/>
      <c r="O375" s="17"/>
      <c r="P375" s="17"/>
      <c r="Q375" s="17"/>
      <c r="R375" s="17"/>
    </row>
    <row r="376">
      <c r="A376" s="18"/>
      <c r="B376" s="17"/>
      <c r="C376" s="17"/>
      <c r="D376" s="17"/>
      <c r="E376" s="17"/>
      <c r="F376" s="17"/>
      <c r="G376" s="17"/>
      <c r="M376" s="17"/>
      <c r="N376" s="17"/>
      <c r="O376" s="17"/>
      <c r="P376" s="17"/>
      <c r="Q376" s="17"/>
      <c r="R376" s="17"/>
    </row>
    <row r="377">
      <c r="A377" s="18"/>
      <c r="B377" s="17"/>
      <c r="C377" s="17"/>
      <c r="D377" s="17"/>
      <c r="E377" s="17"/>
      <c r="F377" s="17"/>
      <c r="G377" s="17"/>
      <c r="M377" s="17"/>
      <c r="N377" s="17"/>
      <c r="O377" s="17"/>
      <c r="P377" s="17"/>
      <c r="Q377" s="17"/>
      <c r="R377" s="17"/>
    </row>
    <row r="378">
      <c r="A378" s="18"/>
      <c r="B378" s="17"/>
      <c r="C378" s="17"/>
      <c r="D378" s="17"/>
      <c r="E378" s="17"/>
      <c r="F378" s="17"/>
      <c r="G378" s="17"/>
      <c r="M378" s="17"/>
      <c r="N378" s="17"/>
      <c r="O378" s="17"/>
      <c r="P378" s="17"/>
      <c r="Q378" s="17"/>
      <c r="R378" s="17"/>
    </row>
    <row r="379">
      <c r="A379" s="18"/>
      <c r="B379" s="17"/>
      <c r="C379" s="17"/>
      <c r="D379" s="17"/>
      <c r="E379" s="17"/>
      <c r="F379" s="17"/>
      <c r="G379" s="17"/>
      <c r="M379" s="17"/>
      <c r="N379" s="17"/>
      <c r="O379" s="17"/>
      <c r="P379" s="17"/>
      <c r="Q379" s="17"/>
      <c r="R379" s="17"/>
    </row>
    <row r="380">
      <c r="A380" s="18"/>
      <c r="B380" s="17"/>
      <c r="C380" s="17"/>
      <c r="D380" s="17"/>
      <c r="E380" s="17"/>
      <c r="F380" s="17"/>
      <c r="G380" s="17"/>
      <c r="M380" s="17"/>
      <c r="N380" s="17"/>
      <c r="O380" s="17"/>
      <c r="P380" s="17"/>
      <c r="Q380" s="17"/>
      <c r="R380" s="17"/>
    </row>
    <row r="381">
      <c r="A381" s="18"/>
      <c r="B381" s="17"/>
      <c r="C381" s="17"/>
      <c r="D381" s="17"/>
      <c r="E381" s="17"/>
      <c r="F381" s="17"/>
      <c r="G381" s="17"/>
      <c r="M381" s="17"/>
      <c r="N381" s="17"/>
      <c r="O381" s="17"/>
      <c r="P381" s="17"/>
      <c r="Q381" s="17"/>
      <c r="R381" s="17"/>
    </row>
    <row r="382">
      <c r="A382" s="18"/>
      <c r="B382" s="17"/>
      <c r="C382" s="17"/>
      <c r="D382" s="17"/>
      <c r="E382" s="17"/>
      <c r="F382" s="17"/>
      <c r="G382" s="17"/>
      <c r="M382" s="17"/>
      <c r="N382" s="17"/>
      <c r="O382" s="17"/>
      <c r="P382" s="17"/>
      <c r="Q382" s="17"/>
      <c r="R382" s="17"/>
    </row>
    <row r="383">
      <c r="A383" s="18"/>
      <c r="B383" s="17"/>
      <c r="C383" s="17"/>
      <c r="D383" s="17"/>
      <c r="E383" s="17"/>
      <c r="F383" s="17"/>
      <c r="G383" s="17"/>
      <c r="M383" s="17"/>
      <c r="N383" s="17"/>
      <c r="O383" s="17"/>
      <c r="P383" s="17"/>
      <c r="Q383" s="17"/>
      <c r="R383" s="17"/>
    </row>
    <row r="384">
      <c r="A384" s="18"/>
      <c r="B384" s="17"/>
      <c r="C384" s="17"/>
      <c r="D384" s="17"/>
      <c r="E384" s="17"/>
      <c r="F384" s="17"/>
      <c r="G384" s="17"/>
      <c r="M384" s="17"/>
      <c r="N384" s="17"/>
      <c r="O384" s="17"/>
      <c r="P384" s="17"/>
      <c r="Q384" s="17"/>
      <c r="R384" s="17"/>
    </row>
    <row r="385">
      <c r="A385" s="18"/>
      <c r="B385" s="17"/>
      <c r="C385" s="17"/>
      <c r="D385" s="17"/>
      <c r="E385" s="17"/>
      <c r="F385" s="17"/>
      <c r="G385" s="17"/>
      <c r="M385" s="17"/>
      <c r="N385" s="17"/>
      <c r="O385" s="17"/>
      <c r="P385" s="17"/>
      <c r="Q385" s="17"/>
      <c r="R385" s="17"/>
    </row>
    <row r="386">
      <c r="A386" s="18"/>
      <c r="B386" s="17"/>
      <c r="C386" s="17"/>
      <c r="D386" s="17"/>
      <c r="E386" s="17"/>
      <c r="F386" s="17"/>
      <c r="G386" s="17"/>
      <c r="M386" s="17"/>
      <c r="N386" s="17"/>
      <c r="O386" s="17"/>
      <c r="P386" s="17"/>
      <c r="Q386" s="17"/>
      <c r="R386" s="17"/>
    </row>
    <row r="387">
      <c r="A387" s="18"/>
      <c r="B387" s="17"/>
      <c r="C387" s="17"/>
      <c r="D387" s="17"/>
      <c r="E387" s="17"/>
      <c r="F387" s="17"/>
      <c r="G387" s="17"/>
      <c r="M387" s="17"/>
      <c r="N387" s="17"/>
      <c r="O387" s="17"/>
      <c r="P387" s="17"/>
      <c r="Q387" s="17"/>
      <c r="R387" s="17"/>
    </row>
    <row r="388">
      <c r="A388" s="18"/>
      <c r="B388" s="17"/>
      <c r="C388" s="17"/>
      <c r="D388" s="17"/>
      <c r="E388" s="17"/>
      <c r="F388" s="17"/>
      <c r="G388" s="17"/>
      <c r="M388" s="17"/>
      <c r="N388" s="17"/>
      <c r="O388" s="17"/>
      <c r="P388" s="17"/>
      <c r="Q388" s="17"/>
      <c r="R388" s="17"/>
    </row>
    <row r="389">
      <c r="A389" s="18"/>
      <c r="B389" s="17"/>
      <c r="C389" s="17"/>
      <c r="D389" s="17"/>
      <c r="E389" s="17"/>
      <c r="F389" s="17"/>
      <c r="G389" s="17"/>
      <c r="M389" s="17"/>
      <c r="N389" s="17"/>
      <c r="O389" s="17"/>
      <c r="P389" s="17"/>
      <c r="Q389" s="17"/>
      <c r="R389" s="17"/>
    </row>
    <row r="390">
      <c r="A390" s="18"/>
      <c r="B390" s="17"/>
      <c r="C390" s="17"/>
      <c r="D390" s="17"/>
      <c r="E390" s="17"/>
      <c r="F390" s="17"/>
      <c r="G390" s="17"/>
      <c r="M390" s="17"/>
      <c r="N390" s="17"/>
      <c r="O390" s="17"/>
      <c r="P390" s="17"/>
      <c r="Q390" s="17"/>
      <c r="R390" s="17"/>
    </row>
    <row r="391">
      <c r="A391" s="18"/>
      <c r="B391" s="17"/>
      <c r="C391" s="17"/>
      <c r="D391" s="17"/>
      <c r="E391" s="17"/>
      <c r="F391" s="17"/>
      <c r="G391" s="17"/>
      <c r="M391" s="17"/>
      <c r="N391" s="17"/>
      <c r="O391" s="17"/>
      <c r="P391" s="17"/>
      <c r="Q391" s="17"/>
      <c r="R391" s="17"/>
    </row>
    <row r="392">
      <c r="A392" s="18"/>
      <c r="B392" s="17"/>
      <c r="C392" s="17"/>
      <c r="D392" s="17"/>
      <c r="E392" s="17"/>
      <c r="F392" s="17"/>
      <c r="G392" s="17"/>
      <c r="M392" s="17"/>
      <c r="N392" s="17"/>
      <c r="O392" s="17"/>
      <c r="P392" s="17"/>
      <c r="Q392" s="17"/>
      <c r="R392" s="17"/>
    </row>
    <row r="393">
      <c r="A393" s="18"/>
      <c r="B393" s="17"/>
      <c r="C393" s="17"/>
      <c r="D393" s="17"/>
      <c r="E393" s="17"/>
      <c r="F393" s="17"/>
      <c r="G393" s="17"/>
      <c r="M393" s="17"/>
      <c r="N393" s="17"/>
      <c r="O393" s="17"/>
      <c r="P393" s="17"/>
      <c r="Q393" s="17"/>
      <c r="R393" s="17"/>
    </row>
    <row r="394">
      <c r="A394" s="18"/>
      <c r="B394" s="17"/>
      <c r="C394" s="17"/>
      <c r="D394" s="17"/>
      <c r="E394" s="17"/>
      <c r="F394" s="17"/>
      <c r="G394" s="17"/>
      <c r="M394" s="17"/>
      <c r="N394" s="17"/>
      <c r="O394" s="17"/>
      <c r="P394" s="17"/>
      <c r="Q394" s="17"/>
      <c r="R394" s="17"/>
    </row>
    <row r="395">
      <c r="A395" s="18"/>
      <c r="B395" s="17"/>
      <c r="C395" s="17"/>
      <c r="D395" s="17"/>
      <c r="E395" s="17"/>
      <c r="F395" s="17"/>
      <c r="G395" s="17"/>
      <c r="M395" s="17"/>
      <c r="N395" s="17"/>
      <c r="O395" s="17"/>
      <c r="P395" s="17"/>
      <c r="Q395" s="17"/>
      <c r="R395" s="17"/>
    </row>
    <row r="396">
      <c r="A396" s="18"/>
      <c r="B396" s="17"/>
      <c r="C396" s="17"/>
      <c r="D396" s="17"/>
      <c r="E396" s="17"/>
      <c r="F396" s="17"/>
      <c r="G396" s="17"/>
      <c r="M396" s="17"/>
      <c r="N396" s="17"/>
      <c r="O396" s="17"/>
      <c r="P396" s="17"/>
      <c r="Q396" s="17"/>
      <c r="R396" s="17"/>
    </row>
    <row r="397">
      <c r="A397" s="18"/>
      <c r="B397" s="17"/>
      <c r="C397" s="17"/>
      <c r="D397" s="17"/>
      <c r="E397" s="17"/>
      <c r="F397" s="17"/>
      <c r="G397" s="17"/>
      <c r="M397" s="17"/>
      <c r="N397" s="17"/>
      <c r="O397" s="17"/>
      <c r="P397" s="17"/>
      <c r="Q397" s="17"/>
      <c r="R397" s="17"/>
    </row>
    <row r="398">
      <c r="A398" s="18"/>
      <c r="B398" s="17"/>
      <c r="C398" s="17"/>
      <c r="D398" s="17"/>
      <c r="E398" s="17"/>
      <c r="F398" s="17"/>
      <c r="G398" s="17"/>
      <c r="M398" s="17"/>
      <c r="N398" s="17"/>
      <c r="O398" s="17"/>
      <c r="P398" s="17"/>
      <c r="Q398" s="17"/>
      <c r="R398" s="17"/>
    </row>
    <row r="399">
      <c r="A399" s="18"/>
      <c r="B399" s="17"/>
      <c r="C399" s="17"/>
      <c r="D399" s="17"/>
      <c r="E399" s="17"/>
      <c r="F399" s="17"/>
      <c r="G399" s="17"/>
      <c r="M399" s="17"/>
      <c r="N399" s="17"/>
      <c r="O399" s="17"/>
      <c r="P399" s="17"/>
      <c r="Q399" s="17"/>
      <c r="R399" s="17"/>
    </row>
    <row r="400">
      <c r="A400" s="18"/>
      <c r="B400" s="17"/>
      <c r="C400" s="17"/>
      <c r="D400" s="17"/>
      <c r="E400" s="17"/>
      <c r="F400" s="17"/>
      <c r="G400" s="17"/>
      <c r="M400" s="17"/>
      <c r="N400" s="17"/>
      <c r="O400" s="17"/>
      <c r="P400" s="17"/>
      <c r="Q400" s="17"/>
      <c r="R400" s="17"/>
    </row>
    <row r="401">
      <c r="A401" s="18"/>
      <c r="B401" s="17"/>
      <c r="C401" s="17"/>
      <c r="D401" s="17"/>
      <c r="E401" s="17"/>
      <c r="F401" s="17"/>
      <c r="G401" s="17"/>
      <c r="M401" s="17"/>
      <c r="N401" s="17"/>
      <c r="O401" s="17"/>
      <c r="P401" s="17"/>
      <c r="Q401" s="17"/>
      <c r="R401" s="17"/>
    </row>
    <row r="402">
      <c r="A402" s="18"/>
      <c r="B402" s="17"/>
      <c r="C402" s="17"/>
      <c r="D402" s="17"/>
      <c r="E402" s="17"/>
      <c r="F402" s="17"/>
      <c r="G402" s="17"/>
      <c r="M402" s="17"/>
      <c r="N402" s="17"/>
      <c r="O402" s="17"/>
      <c r="P402" s="17"/>
      <c r="Q402" s="17"/>
      <c r="R402" s="17"/>
    </row>
    <row r="403">
      <c r="A403" s="18"/>
      <c r="B403" s="17"/>
      <c r="C403" s="17"/>
      <c r="D403" s="17"/>
      <c r="E403" s="17"/>
      <c r="F403" s="17"/>
      <c r="G403" s="17"/>
      <c r="M403" s="17"/>
      <c r="N403" s="17"/>
      <c r="O403" s="17"/>
      <c r="P403" s="17"/>
      <c r="Q403" s="17"/>
      <c r="R403" s="17"/>
    </row>
    <row r="404">
      <c r="A404" s="18"/>
      <c r="B404" s="17"/>
      <c r="C404" s="17"/>
      <c r="D404" s="17"/>
      <c r="E404" s="17"/>
      <c r="F404" s="17"/>
      <c r="G404" s="17"/>
      <c r="M404" s="17"/>
      <c r="N404" s="17"/>
      <c r="O404" s="17"/>
      <c r="P404" s="17"/>
      <c r="Q404" s="17"/>
      <c r="R404" s="17"/>
    </row>
    <row r="405">
      <c r="A405" s="18"/>
      <c r="B405" s="17"/>
      <c r="C405" s="17"/>
      <c r="D405" s="17"/>
      <c r="E405" s="17"/>
      <c r="F405" s="17"/>
      <c r="G405" s="17"/>
      <c r="M405" s="17"/>
      <c r="N405" s="17"/>
      <c r="O405" s="17"/>
      <c r="P405" s="17"/>
      <c r="Q405" s="17"/>
      <c r="R405" s="17"/>
    </row>
    <row r="406">
      <c r="A406" s="18"/>
      <c r="B406" s="17"/>
      <c r="C406" s="17"/>
      <c r="D406" s="17"/>
      <c r="E406" s="17"/>
      <c r="F406" s="17"/>
      <c r="G406" s="17"/>
      <c r="M406" s="17"/>
      <c r="N406" s="17"/>
      <c r="O406" s="17"/>
      <c r="P406" s="17"/>
      <c r="Q406" s="17"/>
      <c r="R406" s="17"/>
    </row>
    <row r="407">
      <c r="A407" s="18"/>
      <c r="B407" s="17"/>
      <c r="C407" s="17"/>
      <c r="D407" s="17"/>
      <c r="E407" s="17"/>
      <c r="F407" s="17"/>
      <c r="G407" s="17"/>
      <c r="M407" s="17"/>
      <c r="N407" s="17"/>
      <c r="O407" s="17"/>
      <c r="P407" s="17"/>
      <c r="Q407" s="17"/>
      <c r="R407" s="17"/>
    </row>
    <row r="408">
      <c r="A408" s="18"/>
      <c r="B408" s="17"/>
      <c r="C408" s="17"/>
      <c r="D408" s="17"/>
      <c r="E408" s="17"/>
      <c r="F408" s="17"/>
      <c r="G408" s="17"/>
      <c r="M408" s="17"/>
      <c r="N408" s="17"/>
      <c r="O408" s="17"/>
      <c r="P408" s="17"/>
      <c r="Q408" s="17"/>
      <c r="R408" s="17"/>
    </row>
    <row r="409">
      <c r="A409" s="18"/>
      <c r="B409" s="17"/>
      <c r="C409" s="17"/>
      <c r="D409" s="17"/>
      <c r="E409" s="17"/>
      <c r="F409" s="17"/>
      <c r="G409" s="17"/>
      <c r="M409" s="17"/>
      <c r="N409" s="17"/>
      <c r="O409" s="17"/>
      <c r="P409" s="17"/>
      <c r="Q409" s="17"/>
      <c r="R409" s="17"/>
    </row>
    <row r="410">
      <c r="A410" s="18"/>
      <c r="B410" s="17"/>
      <c r="C410" s="17"/>
      <c r="D410" s="17"/>
      <c r="E410" s="17"/>
      <c r="F410" s="17"/>
      <c r="G410" s="17"/>
      <c r="M410" s="17"/>
      <c r="N410" s="17"/>
      <c r="O410" s="17"/>
      <c r="P410" s="17"/>
      <c r="Q410" s="17"/>
      <c r="R410" s="17"/>
    </row>
    <row r="411">
      <c r="A411" s="18"/>
      <c r="B411" s="17"/>
      <c r="C411" s="17"/>
      <c r="D411" s="17"/>
      <c r="E411" s="17"/>
      <c r="F411" s="17"/>
      <c r="G411" s="17"/>
      <c r="M411" s="17"/>
      <c r="N411" s="17"/>
      <c r="O411" s="17"/>
      <c r="P411" s="17"/>
      <c r="Q411" s="17"/>
      <c r="R411" s="17"/>
    </row>
    <row r="412">
      <c r="A412" s="18"/>
      <c r="B412" s="17"/>
      <c r="C412" s="17"/>
      <c r="D412" s="17"/>
      <c r="E412" s="17"/>
      <c r="F412" s="17"/>
      <c r="G412" s="17"/>
      <c r="M412" s="17"/>
      <c r="N412" s="17"/>
      <c r="O412" s="17"/>
      <c r="P412" s="17"/>
      <c r="Q412" s="17"/>
      <c r="R412" s="17"/>
    </row>
    <row r="413">
      <c r="A413" s="18"/>
      <c r="B413" s="17"/>
      <c r="C413" s="17"/>
      <c r="D413" s="17"/>
      <c r="E413" s="17"/>
      <c r="F413" s="17"/>
      <c r="G413" s="17"/>
      <c r="M413" s="17"/>
      <c r="N413" s="17"/>
      <c r="O413" s="17"/>
      <c r="P413" s="17"/>
      <c r="Q413" s="17"/>
      <c r="R413" s="17"/>
    </row>
    <row r="414">
      <c r="A414" s="18"/>
      <c r="B414" s="17"/>
      <c r="C414" s="17"/>
      <c r="D414" s="17"/>
      <c r="E414" s="17"/>
      <c r="F414" s="17"/>
      <c r="G414" s="17"/>
      <c r="M414" s="17"/>
      <c r="N414" s="17"/>
      <c r="O414" s="17"/>
      <c r="P414" s="17"/>
      <c r="Q414" s="17"/>
      <c r="R414" s="17"/>
    </row>
    <row r="415">
      <c r="A415" s="18"/>
      <c r="B415" s="17"/>
      <c r="C415" s="17"/>
      <c r="D415" s="17"/>
      <c r="E415" s="17"/>
      <c r="F415" s="17"/>
      <c r="G415" s="17"/>
      <c r="M415" s="17"/>
      <c r="N415" s="17"/>
      <c r="O415" s="17"/>
      <c r="P415" s="17"/>
      <c r="Q415" s="17"/>
      <c r="R415" s="17"/>
    </row>
    <row r="416">
      <c r="A416" s="18"/>
      <c r="B416" s="17"/>
      <c r="C416" s="17"/>
      <c r="D416" s="17"/>
      <c r="E416" s="17"/>
      <c r="F416" s="17"/>
      <c r="G416" s="17"/>
      <c r="M416" s="17"/>
      <c r="N416" s="17"/>
      <c r="O416" s="17"/>
      <c r="P416" s="17"/>
      <c r="Q416" s="17"/>
      <c r="R416" s="17"/>
    </row>
    <row r="417">
      <c r="A417" s="18"/>
      <c r="B417" s="17"/>
      <c r="C417" s="17"/>
      <c r="D417" s="17"/>
      <c r="E417" s="17"/>
      <c r="F417" s="17"/>
      <c r="G417" s="17"/>
      <c r="M417" s="17"/>
      <c r="N417" s="17"/>
      <c r="O417" s="17"/>
      <c r="P417" s="17"/>
      <c r="Q417" s="17"/>
      <c r="R417" s="17"/>
    </row>
    <row r="418">
      <c r="A418" s="18"/>
      <c r="B418" s="17"/>
      <c r="C418" s="17"/>
      <c r="D418" s="17"/>
      <c r="E418" s="17"/>
      <c r="F418" s="17"/>
      <c r="G418" s="17"/>
      <c r="M418" s="17"/>
      <c r="N418" s="17"/>
      <c r="O418" s="17"/>
      <c r="P418" s="17"/>
      <c r="Q418" s="17"/>
      <c r="R418" s="17"/>
    </row>
    <row r="419">
      <c r="A419" s="18"/>
      <c r="B419" s="17"/>
      <c r="C419" s="17"/>
      <c r="D419" s="17"/>
      <c r="E419" s="17"/>
      <c r="F419" s="17"/>
      <c r="G419" s="17"/>
      <c r="M419" s="17"/>
      <c r="N419" s="17"/>
      <c r="O419" s="17"/>
      <c r="P419" s="17"/>
      <c r="Q419" s="17"/>
      <c r="R419" s="17"/>
    </row>
    <row r="420">
      <c r="A420" s="18"/>
      <c r="B420" s="17"/>
      <c r="C420" s="17"/>
      <c r="D420" s="17"/>
      <c r="E420" s="17"/>
      <c r="F420" s="17"/>
      <c r="G420" s="17"/>
      <c r="M420" s="17"/>
      <c r="N420" s="17"/>
      <c r="O420" s="17"/>
      <c r="P420" s="17"/>
      <c r="Q420" s="17"/>
      <c r="R420" s="17"/>
    </row>
    <row r="421">
      <c r="A421" s="18"/>
      <c r="B421" s="17"/>
      <c r="C421" s="17"/>
      <c r="D421" s="17"/>
      <c r="E421" s="17"/>
      <c r="F421" s="17"/>
      <c r="G421" s="17"/>
      <c r="M421" s="17"/>
      <c r="N421" s="17"/>
      <c r="O421" s="17"/>
      <c r="P421" s="17"/>
      <c r="Q421" s="17"/>
      <c r="R421" s="17"/>
    </row>
    <row r="422">
      <c r="A422" s="18"/>
      <c r="B422" s="17"/>
      <c r="C422" s="17"/>
      <c r="D422" s="17"/>
      <c r="E422" s="17"/>
      <c r="F422" s="17"/>
      <c r="G422" s="17"/>
      <c r="M422" s="17"/>
      <c r="N422" s="17"/>
      <c r="O422" s="17"/>
      <c r="P422" s="17"/>
      <c r="Q422" s="17"/>
      <c r="R422" s="17"/>
    </row>
    <row r="423">
      <c r="A423" s="18"/>
      <c r="B423" s="17"/>
      <c r="C423" s="17"/>
      <c r="D423" s="17"/>
      <c r="E423" s="17"/>
      <c r="F423" s="17"/>
      <c r="G423" s="17"/>
      <c r="M423" s="17"/>
      <c r="N423" s="17"/>
      <c r="O423" s="17"/>
      <c r="P423" s="17"/>
      <c r="Q423" s="17"/>
      <c r="R423" s="17"/>
    </row>
    <row r="424">
      <c r="A424" s="18"/>
      <c r="B424" s="17"/>
      <c r="C424" s="17"/>
      <c r="D424" s="17"/>
      <c r="E424" s="17"/>
      <c r="F424" s="17"/>
      <c r="G424" s="17"/>
      <c r="M424" s="17"/>
      <c r="N424" s="17"/>
      <c r="O424" s="17"/>
      <c r="P424" s="17"/>
      <c r="Q424" s="17"/>
      <c r="R424" s="17"/>
    </row>
    <row r="425">
      <c r="A425" s="18"/>
      <c r="B425" s="17"/>
      <c r="C425" s="17"/>
      <c r="D425" s="17"/>
      <c r="E425" s="17"/>
      <c r="F425" s="17"/>
      <c r="G425" s="17"/>
      <c r="M425" s="17"/>
      <c r="N425" s="17"/>
      <c r="O425" s="17"/>
      <c r="P425" s="17"/>
      <c r="Q425" s="17"/>
      <c r="R425" s="17"/>
    </row>
    <row r="426">
      <c r="A426" s="18"/>
      <c r="B426" s="17"/>
      <c r="C426" s="17"/>
      <c r="D426" s="17"/>
      <c r="E426" s="17"/>
      <c r="F426" s="17"/>
      <c r="G426" s="17"/>
      <c r="M426" s="17"/>
      <c r="N426" s="17"/>
      <c r="O426" s="17"/>
      <c r="P426" s="17"/>
      <c r="Q426" s="17"/>
      <c r="R426" s="17"/>
    </row>
    <row r="427">
      <c r="A427" s="18"/>
      <c r="B427" s="17"/>
      <c r="C427" s="17"/>
      <c r="D427" s="17"/>
      <c r="E427" s="17"/>
      <c r="F427" s="17"/>
      <c r="G427" s="17"/>
      <c r="M427" s="17"/>
      <c r="N427" s="17"/>
      <c r="O427" s="17"/>
      <c r="P427" s="17"/>
      <c r="Q427" s="17"/>
      <c r="R427" s="17"/>
    </row>
    <row r="428">
      <c r="A428" s="18"/>
      <c r="B428" s="17"/>
      <c r="C428" s="17"/>
      <c r="D428" s="17"/>
      <c r="E428" s="17"/>
      <c r="F428" s="17"/>
      <c r="G428" s="17"/>
      <c r="M428" s="17"/>
      <c r="N428" s="17"/>
      <c r="O428" s="17"/>
      <c r="P428" s="17"/>
      <c r="Q428" s="17"/>
      <c r="R428" s="17"/>
    </row>
    <row r="429">
      <c r="A429" s="18"/>
      <c r="B429" s="17"/>
      <c r="C429" s="17"/>
      <c r="D429" s="17"/>
      <c r="E429" s="17"/>
      <c r="F429" s="17"/>
      <c r="G429" s="17"/>
      <c r="M429" s="17"/>
      <c r="N429" s="17"/>
      <c r="O429" s="17"/>
      <c r="P429" s="17"/>
      <c r="Q429" s="17"/>
      <c r="R429" s="17"/>
    </row>
    <row r="430">
      <c r="A430" s="18"/>
      <c r="B430" s="17"/>
      <c r="C430" s="17"/>
      <c r="D430" s="17"/>
      <c r="E430" s="17"/>
      <c r="F430" s="17"/>
      <c r="G430" s="17"/>
      <c r="M430" s="17"/>
      <c r="N430" s="17"/>
      <c r="O430" s="17"/>
      <c r="P430" s="17"/>
      <c r="Q430" s="17"/>
      <c r="R430" s="17"/>
    </row>
    <row r="431">
      <c r="A431" s="18"/>
      <c r="B431" s="17"/>
      <c r="C431" s="17"/>
      <c r="D431" s="17"/>
      <c r="E431" s="17"/>
      <c r="F431" s="17"/>
      <c r="G431" s="17"/>
      <c r="M431" s="17"/>
      <c r="N431" s="17"/>
      <c r="O431" s="17"/>
      <c r="P431" s="17"/>
      <c r="Q431" s="17"/>
      <c r="R431" s="17"/>
    </row>
    <row r="432">
      <c r="A432" s="18"/>
      <c r="B432" s="17"/>
      <c r="C432" s="17"/>
      <c r="D432" s="17"/>
      <c r="E432" s="17"/>
      <c r="F432" s="17"/>
      <c r="G432" s="17"/>
      <c r="M432" s="17"/>
      <c r="N432" s="17"/>
      <c r="O432" s="17"/>
      <c r="P432" s="17"/>
      <c r="Q432" s="17"/>
      <c r="R432" s="17"/>
    </row>
    <row r="433">
      <c r="A433" s="18"/>
      <c r="B433" s="17"/>
      <c r="C433" s="17"/>
      <c r="D433" s="17"/>
      <c r="E433" s="17"/>
      <c r="F433" s="17"/>
      <c r="G433" s="17"/>
      <c r="M433" s="17"/>
      <c r="N433" s="17"/>
      <c r="O433" s="17"/>
      <c r="P433" s="17"/>
      <c r="Q433" s="17"/>
      <c r="R433" s="17"/>
    </row>
    <row r="434">
      <c r="A434" s="18"/>
      <c r="B434" s="17"/>
      <c r="C434" s="17"/>
      <c r="D434" s="17"/>
      <c r="E434" s="17"/>
      <c r="F434" s="17"/>
      <c r="G434" s="17"/>
      <c r="M434" s="17"/>
      <c r="N434" s="17"/>
      <c r="O434" s="17"/>
      <c r="P434" s="17"/>
      <c r="Q434" s="17"/>
      <c r="R434" s="17"/>
    </row>
    <row r="435">
      <c r="A435" s="18"/>
      <c r="B435" s="17"/>
      <c r="C435" s="17"/>
      <c r="D435" s="17"/>
      <c r="E435" s="17"/>
      <c r="F435" s="17"/>
      <c r="G435" s="17"/>
      <c r="M435" s="17"/>
      <c r="N435" s="17"/>
      <c r="O435" s="17"/>
      <c r="P435" s="17"/>
      <c r="Q435" s="17"/>
      <c r="R435" s="17"/>
    </row>
    <row r="436">
      <c r="A436" s="18"/>
      <c r="B436" s="17"/>
      <c r="C436" s="17"/>
      <c r="D436" s="17"/>
      <c r="E436" s="17"/>
      <c r="F436" s="17"/>
      <c r="G436" s="17"/>
      <c r="M436" s="17"/>
      <c r="N436" s="17"/>
      <c r="O436" s="17"/>
      <c r="P436" s="17"/>
      <c r="Q436" s="17"/>
      <c r="R436" s="17"/>
    </row>
    <row r="437">
      <c r="A437" s="18"/>
      <c r="B437" s="17"/>
      <c r="C437" s="17"/>
      <c r="D437" s="17"/>
      <c r="E437" s="17"/>
      <c r="F437" s="17"/>
      <c r="G437" s="17"/>
      <c r="M437" s="17"/>
      <c r="N437" s="17"/>
      <c r="O437" s="17"/>
      <c r="P437" s="17"/>
      <c r="Q437" s="17"/>
      <c r="R437" s="17"/>
    </row>
    <row r="438">
      <c r="A438" s="18"/>
      <c r="B438" s="17"/>
      <c r="C438" s="17"/>
      <c r="D438" s="17"/>
      <c r="E438" s="17"/>
      <c r="F438" s="17"/>
      <c r="G438" s="17"/>
      <c r="M438" s="17"/>
      <c r="N438" s="17"/>
      <c r="O438" s="17"/>
      <c r="P438" s="17"/>
      <c r="Q438" s="17"/>
      <c r="R438" s="17"/>
    </row>
    <row r="439">
      <c r="A439" s="18"/>
      <c r="B439" s="17"/>
      <c r="C439" s="17"/>
      <c r="D439" s="17"/>
      <c r="E439" s="17"/>
      <c r="F439" s="17"/>
      <c r="G439" s="17"/>
      <c r="M439" s="17"/>
      <c r="N439" s="17"/>
      <c r="O439" s="17"/>
      <c r="P439" s="17"/>
      <c r="Q439" s="17"/>
      <c r="R439" s="17"/>
    </row>
    <row r="440">
      <c r="A440" s="18"/>
      <c r="B440" s="17"/>
      <c r="C440" s="17"/>
      <c r="D440" s="17"/>
      <c r="E440" s="17"/>
      <c r="F440" s="17"/>
      <c r="G440" s="17"/>
      <c r="M440" s="17"/>
      <c r="N440" s="17"/>
      <c r="O440" s="17"/>
      <c r="P440" s="17"/>
      <c r="Q440" s="17"/>
      <c r="R440" s="17"/>
    </row>
    <row r="441">
      <c r="A441" s="18"/>
      <c r="B441" s="17"/>
      <c r="C441" s="17"/>
      <c r="D441" s="17"/>
      <c r="E441" s="17"/>
      <c r="F441" s="17"/>
      <c r="G441" s="17"/>
      <c r="M441" s="17"/>
      <c r="N441" s="17"/>
      <c r="O441" s="17"/>
      <c r="P441" s="17"/>
      <c r="Q441" s="17"/>
      <c r="R441" s="17"/>
    </row>
    <row r="442">
      <c r="A442" s="18"/>
      <c r="B442" s="17"/>
      <c r="C442" s="17"/>
      <c r="D442" s="17"/>
      <c r="E442" s="17"/>
      <c r="F442" s="17"/>
      <c r="G442" s="17"/>
      <c r="M442" s="17"/>
      <c r="N442" s="17"/>
      <c r="O442" s="17"/>
      <c r="P442" s="17"/>
      <c r="Q442" s="17"/>
      <c r="R442" s="17"/>
    </row>
    <row r="443">
      <c r="A443" s="18"/>
      <c r="B443" s="17"/>
      <c r="C443" s="17"/>
      <c r="D443" s="17"/>
      <c r="E443" s="17"/>
      <c r="F443" s="17"/>
      <c r="G443" s="17"/>
      <c r="M443" s="17"/>
      <c r="N443" s="17"/>
      <c r="O443" s="17"/>
      <c r="P443" s="17"/>
      <c r="Q443" s="17"/>
      <c r="R443" s="17"/>
    </row>
    <row r="444">
      <c r="A444" s="18"/>
      <c r="B444" s="17"/>
      <c r="C444" s="17"/>
      <c r="D444" s="17"/>
      <c r="E444" s="17"/>
      <c r="F444" s="17"/>
      <c r="G444" s="17"/>
      <c r="M444" s="17"/>
      <c r="N444" s="17"/>
      <c r="O444" s="17"/>
      <c r="P444" s="17"/>
      <c r="Q444" s="17"/>
      <c r="R444" s="17"/>
    </row>
    <row r="445">
      <c r="A445" s="18"/>
      <c r="B445" s="17"/>
      <c r="C445" s="17"/>
      <c r="D445" s="17"/>
      <c r="E445" s="17"/>
      <c r="F445" s="17"/>
      <c r="G445" s="17"/>
      <c r="M445" s="17"/>
      <c r="N445" s="17"/>
      <c r="O445" s="17"/>
      <c r="P445" s="17"/>
      <c r="Q445" s="17"/>
      <c r="R445" s="17"/>
    </row>
    <row r="446">
      <c r="A446" s="18"/>
      <c r="B446" s="17"/>
      <c r="C446" s="17"/>
      <c r="D446" s="17"/>
      <c r="E446" s="17"/>
      <c r="F446" s="17"/>
      <c r="G446" s="17"/>
      <c r="M446" s="17"/>
      <c r="N446" s="17"/>
      <c r="O446" s="17"/>
      <c r="P446" s="17"/>
      <c r="Q446" s="17"/>
      <c r="R446" s="17"/>
    </row>
    <row r="447">
      <c r="A447" s="18"/>
      <c r="B447" s="17"/>
      <c r="C447" s="17"/>
      <c r="D447" s="17"/>
      <c r="E447" s="17"/>
      <c r="F447" s="17"/>
      <c r="G447" s="17"/>
      <c r="M447" s="17"/>
      <c r="N447" s="17"/>
      <c r="O447" s="17"/>
      <c r="P447" s="17"/>
      <c r="Q447" s="17"/>
      <c r="R447" s="17"/>
    </row>
    <row r="448">
      <c r="A448" s="18"/>
      <c r="B448" s="17"/>
      <c r="C448" s="17"/>
      <c r="D448" s="17"/>
      <c r="E448" s="17"/>
      <c r="F448" s="17"/>
      <c r="G448" s="17"/>
      <c r="M448" s="17"/>
      <c r="N448" s="17"/>
      <c r="O448" s="17"/>
      <c r="P448" s="17"/>
      <c r="Q448" s="17"/>
      <c r="R448" s="17"/>
    </row>
    <row r="449">
      <c r="A449" s="18"/>
      <c r="B449" s="17"/>
      <c r="C449" s="17"/>
      <c r="D449" s="17"/>
      <c r="E449" s="17"/>
      <c r="F449" s="17"/>
      <c r="G449" s="17"/>
      <c r="M449" s="17"/>
      <c r="N449" s="17"/>
      <c r="O449" s="17"/>
      <c r="P449" s="17"/>
      <c r="Q449" s="17"/>
      <c r="R449" s="17"/>
    </row>
    <row r="450">
      <c r="A450" s="18"/>
      <c r="B450" s="17"/>
      <c r="C450" s="17"/>
      <c r="D450" s="17"/>
      <c r="E450" s="17"/>
      <c r="F450" s="17"/>
      <c r="G450" s="17"/>
      <c r="M450" s="17"/>
      <c r="N450" s="17"/>
      <c r="O450" s="17"/>
      <c r="P450" s="17"/>
      <c r="Q450" s="17"/>
      <c r="R450" s="17"/>
    </row>
    <row r="451">
      <c r="A451" s="18"/>
      <c r="B451" s="17"/>
      <c r="C451" s="17"/>
      <c r="D451" s="17"/>
      <c r="E451" s="17"/>
      <c r="F451" s="17"/>
      <c r="G451" s="17"/>
      <c r="M451" s="17"/>
      <c r="N451" s="17"/>
      <c r="O451" s="17"/>
      <c r="P451" s="17"/>
      <c r="Q451" s="17"/>
      <c r="R451" s="17"/>
    </row>
    <row r="452">
      <c r="A452" s="18"/>
      <c r="B452" s="17"/>
      <c r="C452" s="17"/>
      <c r="D452" s="17"/>
      <c r="E452" s="17"/>
      <c r="F452" s="17"/>
      <c r="G452" s="17"/>
      <c r="M452" s="17"/>
      <c r="N452" s="17"/>
      <c r="O452" s="17"/>
      <c r="P452" s="17"/>
      <c r="Q452" s="17"/>
      <c r="R452" s="17"/>
    </row>
    <row r="453">
      <c r="A453" s="18"/>
      <c r="B453" s="17"/>
      <c r="C453" s="17"/>
      <c r="D453" s="17"/>
      <c r="E453" s="17"/>
      <c r="F453" s="17"/>
      <c r="G453" s="17"/>
      <c r="M453" s="17"/>
      <c r="N453" s="17"/>
      <c r="O453" s="17"/>
      <c r="P453" s="17"/>
      <c r="Q453" s="17"/>
      <c r="R453" s="17"/>
    </row>
    <row r="454">
      <c r="A454" s="18"/>
      <c r="B454" s="17"/>
      <c r="C454" s="17"/>
      <c r="D454" s="17"/>
      <c r="E454" s="17"/>
      <c r="F454" s="17"/>
      <c r="G454" s="17"/>
      <c r="M454" s="17"/>
      <c r="N454" s="17"/>
      <c r="O454" s="17"/>
      <c r="P454" s="17"/>
      <c r="Q454" s="17"/>
      <c r="R454" s="17"/>
    </row>
    <row r="455">
      <c r="A455" s="18"/>
      <c r="B455" s="17"/>
      <c r="C455" s="17"/>
      <c r="D455" s="17"/>
      <c r="E455" s="17"/>
      <c r="F455" s="17"/>
      <c r="G455" s="17"/>
      <c r="M455" s="17"/>
      <c r="N455" s="17"/>
      <c r="O455" s="17"/>
      <c r="P455" s="17"/>
      <c r="Q455" s="17"/>
      <c r="R455" s="17"/>
    </row>
    <row r="456">
      <c r="A456" s="18"/>
      <c r="B456" s="17"/>
      <c r="C456" s="17"/>
      <c r="D456" s="17"/>
      <c r="E456" s="17"/>
      <c r="F456" s="17"/>
      <c r="G456" s="17"/>
      <c r="M456" s="17"/>
      <c r="N456" s="17"/>
      <c r="O456" s="17"/>
      <c r="P456" s="17"/>
      <c r="Q456" s="17"/>
      <c r="R456" s="17"/>
    </row>
    <row r="457">
      <c r="A457" s="18"/>
      <c r="B457" s="17"/>
      <c r="C457" s="17"/>
      <c r="D457" s="17"/>
      <c r="E457" s="17"/>
      <c r="F457" s="17"/>
      <c r="G457" s="17"/>
      <c r="M457" s="17"/>
      <c r="N457" s="17"/>
      <c r="O457" s="17"/>
      <c r="P457" s="17"/>
      <c r="Q457" s="17"/>
      <c r="R457" s="17"/>
    </row>
    <row r="458">
      <c r="A458" s="18"/>
      <c r="B458" s="17"/>
      <c r="C458" s="17"/>
      <c r="D458" s="17"/>
      <c r="E458" s="17"/>
      <c r="F458" s="17"/>
      <c r="G458" s="17"/>
      <c r="M458" s="17"/>
      <c r="N458" s="17"/>
      <c r="O458" s="17"/>
      <c r="P458" s="17"/>
      <c r="Q458" s="17"/>
      <c r="R458" s="17"/>
    </row>
    <row r="459">
      <c r="A459" s="18"/>
      <c r="B459" s="17"/>
      <c r="C459" s="17"/>
      <c r="D459" s="17"/>
      <c r="E459" s="17"/>
      <c r="F459" s="17"/>
      <c r="G459" s="17"/>
      <c r="M459" s="17"/>
      <c r="N459" s="17"/>
      <c r="O459" s="17"/>
      <c r="P459" s="17"/>
      <c r="Q459" s="17"/>
      <c r="R459" s="17"/>
    </row>
    <row r="460">
      <c r="A460" s="18"/>
      <c r="B460" s="17"/>
      <c r="C460" s="17"/>
      <c r="D460" s="17"/>
      <c r="E460" s="17"/>
      <c r="F460" s="17"/>
      <c r="G460" s="17"/>
      <c r="M460" s="17"/>
      <c r="N460" s="17"/>
      <c r="O460" s="17"/>
      <c r="P460" s="17"/>
      <c r="Q460" s="17"/>
      <c r="R460" s="17"/>
    </row>
    <row r="461">
      <c r="A461" s="18"/>
      <c r="B461" s="17"/>
      <c r="C461" s="17"/>
      <c r="D461" s="17"/>
      <c r="E461" s="17"/>
      <c r="F461" s="17"/>
      <c r="G461" s="17"/>
      <c r="M461" s="17"/>
      <c r="N461" s="17"/>
      <c r="O461" s="17"/>
      <c r="P461" s="17"/>
      <c r="Q461" s="17"/>
      <c r="R461" s="17"/>
    </row>
    <row r="462">
      <c r="A462" s="18"/>
      <c r="B462" s="17"/>
      <c r="C462" s="17"/>
      <c r="D462" s="17"/>
      <c r="E462" s="17"/>
      <c r="F462" s="17"/>
      <c r="G462" s="17"/>
      <c r="M462" s="17"/>
      <c r="N462" s="17"/>
      <c r="O462" s="17"/>
      <c r="P462" s="17"/>
      <c r="Q462" s="17"/>
      <c r="R462" s="17"/>
    </row>
    <row r="463">
      <c r="A463" s="18"/>
      <c r="B463" s="17"/>
      <c r="C463" s="17"/>
      <c r="D463" s="17"/>
      <c r="E463" s="17"/>
      <c r="F463" s="17"/>
      <c r="G463" s="17"/>
      <c r="M463" s="17"/>
      <c r="N463" s="17"/>
      <c r="O463" s="17"/>
      <c r="P463" s="17"/>
      <c r="Q463" s="17"/>
      <c r="R463" s="17"/>
    </row>
    <row r="464">
      <c r="A464" s="18"/>
      <c r="B464" s="17"/>
      <c r="C464" s="17"/>
      <c r="D464" s="17"/>
      <c r="E464" s="17"/>
      <c r="F464" s="17"/>
      <c r="G464" s="17"/>
      <c r="M464" s="17"/>
      <c r="N464" s="17"/>
      <c r="O464" s="17"/>
      <c r="P464" s="17"/>
      <c r="Q464" s="17"/>
      <c r="R464" s="17"/>
    </row>
    <row r="465">
      <c r="A465" s="18"/>
      <c r="B465" s="17"/>
      <c r="C465" s="17"/>
      <c r="D465" s="17"/>
      <c r="E465" s="17"/>
      <c r="F465" s="17"/>
      <c r="G465" s="17"/>
      <c r="M465" s="17"/>
      <c r="N465" s="17"/>
      <c r="O465" s="17"/>
      <c r="P465" s="17"/>
      <c r="Q465" s="17"/>
      <c r="R465" s="17"/>
    </row>
    <row r="466">
      <c r="A466" s="18"/>
      <c r="B466" s="17"/>
      <c r="C466" s="17"/>
      <c r="D466" s="17"/>
      <c r="E466" s="17"/>
      <c r="F466" s="17"/>
      <c r="G466" s="17"/>
      <c r="M466" s="17"/>
      <c r="N466" s="17"/>
      <c r="O466" s="17"/>
      <c r="P466" s="17"/>
      <c r="Q466" s="17"/>
      <c r="R466" s="17"/>
    </row>
    <row r="467">
      <c r="A467" s="18"/>
      <c r="B467" s="17"/>
      <c r="C467" s="17"/>
      <c r="D467" s="17"/>
      <c r="E467" s="17"/>
      <c r="F467" s="17"/>
      <c r="G467" s="17"/>
      <c r="M467" s="17"/>
      <c r="N467" s="17"/>
      <c r="O467" s="17"/>
      <c r="P467" s="17"/>
      <c r="Q467" s="17"/>
      <c r="R467" s="17"/>
    </row>
    <row r="468">
      <c r="A468" s="18"/>
      <c r="B468" s="17"/>
      <c r="C468" s="17"/>
      <c r="D468" s="17"/>
      <c r="E468" s="17"/>
      <c r="F468" s="17"/>
      <c r="G468" s="17"/>
      <c r="M468" s="17"/>
      <c r="N468" s="17"/>
      <c r="O468" s="17"/>
      <c r="P468" s="17"/>
      <c r="Q468" s="17"/>
      <c r="R468" s="17"/>
    </row>
    <row r="469">
      <c r="A469" s="18"/>
      <c r="B469" s="17"/>
      <c r="C469" s="17"/>
      <c r="D469" s="17"/>
      <c r="E469" s="17"/>
      <c r="F469" s="17"/>
      <c r="G469" s="17"/>
      <c r="M469" s="17"/>
      <c r="N469" s="17"/>
      <c r="O469" s="17"/>
      <c r="P469" s="17"/>
      <c r="Q469" s="17"/>
      <c r="R469" s="17"/>
    </row>
    <row r="470">
      <c r="A470" s="18"/>
      <c r="B470" s="17"/>
      <c r="C470" s="17"/>
      <c r="D470" s="17"/>
      <c r="E470" s="17"/>
      <c r="F470" s="17"/>
      <c r="G470" s="17"/>
      <c r="M470" s="17"/>
      <c r="N470" s="17"/>
      <c r="O470" s="17"/>
      <c r="P470" s="17"/>
      <c r="Q470" s="17"/>
      <c r="R470" s="17"/>
    </row>
    <row r="471">
      <c r="A471" s="18"/>
      <c r="B471" s="17"/>
      <c r="C471" s="17"/>
      <c r="D471" s="17"/>
      <c r="E471" s="17"/>
      <c r="F471" s="17"/>
      <c r="G471" s="17"/>
      <c r="M471" s="17"/>
      <c r="N471" s="17"/>
      <c r="O471" s="17"/>
      <c r="P471" s="17"/>
      <c r="Q471" s="17"/>
      <c r="R471" s="17"/>
    </row>
    <row r="472">
      <c r="A472" s="18"/>
      <c r="B472" s="17"/>
      <c r="C472" s="17"/>
      <c r="D472" s="17"/>
      <c r="E472" s="17"/>
      <c r="F472" s="17"/>
      <c r="G472" s="17"/>
      <c r="M472" s="17"/>
      <c r="N472" s="17"/>
      <c r="O472" s="17"/>
      <c r="P472" s="17"/>
      <c r="Q472" s="17"/>
      <c r="R472" s="17"/>
    </row>
    <row r="473">
      <c r="A473" s="18"/>
      <c r="B473" s="17"/>
      <c r="C473" s="17"/>
      <c r="D473" s="17"/>
      <c r="E473" s="17"/>
      <c r="F473" s="17"/>
      <c r="G473" s="17"/>
      <c r="M473" s="17"/>
      <c r="N473" s="17"/>
      <c r="O473" s="17"/>
      <c r="P473" s="17"/>
      <c r="Q473" s="17"/>
      <c r="R473" s="17"/>
    </row>
    <row r="474">
      <c r="A474" s="18"/>
      <c r="B474" s="17"/>
      <c r="C474" s="17"/>
      <c r="D474" s="17"/>
      <c r="E474" s="17"/>
      <c r="F474" s="17"/>
      <c r="G474" s="17"/>
      <c r="M474" s="17"/>
      <c r="N474" s="17"/>
      <c r="O474" s="17"/>
      <c r="P474" s="17"/>
      <c r="Q474" s="17"/>
      <c r="R474" s="17"/>
    </row>
    <row r="475">
      <c r="A475" s="18"/>
      <c r="B475" s="17"/>
      <c r="C475" s="17"/>
      <c r="D475" s="17"/>
      <c r="E475" s="17"/>
      <c r="F475" s="17"/>
      <c r="G475" s="17"/>
      <c r="M475" s="17"/>
      <c r="N475" s="17"/>
      <c r="O475" s="17"/>
      <c r="P475" s="17"/>
      <c r="Q475" s="17"/>
      <c r="R475" s="17"/>
    </row>
    <row r="476">
      <c r="A476" s="18"/>
      <c r="B476" s="17"/>
      <c r="C476" s="17"/>
      <c r="D476" s="17"/>
      <c r="E476" s="17"/>
      <c r="F476" s="17"/>
      <c r="G476" s="17"/>
      <c r="M476" s="17"/>
      <c r="N476" s="17"/>
      <c r="O476" s="17"/>
      <c r="P476" s="17"/>
      <c r="Q476" s="17"/>
      <c r="R476" s="17"/>
    </row>
    <row r="477">
      <c r="A477" s="18"/>
      <c r="B477" s="17"/>
      <c r="C477" s="17"/>
      <c r="D477" s="17"/>
      <c r="E477" s="17"/>
      <c r="F477" s="17"/>
      <c r="G477" s="17"/>
      <c r="M477" s="17"/>
      <c r="N477" s="17"/>
      <c r="O477" s="17"/>
      <c r="P477" s="17"/>
      <c r="Q477" s="17"/>
      <c r="R477" s="17"/>
    </row>
    <row r="478">
      <c r="A478" s="18"/>
      <c r="B478" s="17"/>
      <c r="C478" s="17"/>
      <c r="D478" s="17"/>
      <c r="E478" s="17"/>
      <c r="F478" s="17"/>
      <c r="G478" s="17"/>
      <c r="M478" s="17"/>
      <c r="N478" s="17"/>
      <c r="O478" s="17"/>
      <c r="P478" s="17"/>
      <c r="Q478" s="17"/>
      <c r="R478" s="17"/>
    </row>
    <row r="479">
      <c r="A479" s="18"/>
      <c r="B479" s="17"/>
      <c r="C479" s="17"/>
      <c r="D479" s="17"/>
      <c r="E479" s="17"/>
      <c r="F479" s="17"/>
      <c r="G479" s="17"/>
      <c r="M479" s="17"/>
      <c r="N479" s="17"/>
      <c r="O479" s="17"/>
      <c r="P479" s="17"/>
      <c r="Q479" s="17"/>
      <c r="R479" s="17"/>
    </row>
    <row r="480">
      <c r="A480" s="18"/>
      <c r="B480" s="17"/>
      <c r="C480" s="17"/>
      <c r="D480" s="17"/>
      <c r="E480" s="17"/>
      <c r="F480" s="17"/>
      <c r="G480" s="17"/>
      <c r="M480" s="17"/>
      <c r="N480" s="17"/>
      <c r="O480" s="17"/>
      <c r="P480" s="17"/>
      <c r="Q480" s="17"/>
      <c r="R480" s="17"/>
    </row>
    <row r="481">
      <c r="A481" s="18"/>
      <c r="B481" s="17"/>
      <c r="C481" s="17"/>
      <c r="D481" s="17"/>
      <c r="E481" s="17"/>
      <c r="F481" s="17"/>
      <c r="G481" s="17"/>
      <c r="M481" s="17"/>
      <c r="N481" s="17"/>
      <c r="O481" s="17"/>
      <c r="P481" s="17"/>
      <c r="Q481" s="17"/>
      <c r="R481" s="17"/>
    </row>
    <row r="482">
      <c r="A482" s="18"/>
      <c r="B482" s="17"/>
      <c r="C482" s="17"/>
      <c r="D482" s="17"/>
      <c r="E482" s="17"/>
      <c r="F482" s="17"/>
      <c r="G482" s="17"/>
      <c r="M482" s="17"/>
      <c r="N482" s="17"/>
      <c r="O482" s="17"/>
      <c r="P482" s="17"/>
      <c r="Q482" s="17"/>
      <c r="R482" s="17"/>
    </row>
    <row r="483">
      <c r="A483" s="18"/>
      <c r="B483" s="17"/>
      <c r="C483" s="17"/>
      <c r="D483" s="17"/>
      <c r="E483" s="17"/>
      <c r="F483" s="17"/>
      <c r="G483" s="17"/>
      <c r="M483" s="17"/>
      <c r="N483" s="17"/>
      <c r="O483" s="17"/>
      <c r="P483" s="17"/>
      <c r="Q483" s="17"/>
      <c r="R483" s="17"/>
    </row>
    <row r="484">
      <c r="A484" s="18"/>
      <c r="B484" s="17"/>
      <c r="C484" s="17"/>
      <c r="D484" s="17"/>
      <c r="E484" s="17"/>
      <c r="F484" s="17"/>
      <c r="G484" s="17"/>
      <c r="M484" s="17"/>
      <c r="N484" s="17"/>
      <c r="O484" s="17"/>
      <c r="P484" s="17"/>
      <c r="Q484" s="17"/>
      <c r="R484" s="17"/>
    </row>
    <row r="485">
      <c r="A485" s="18"/>
      <c r="B485" s="17"/>
      <c r="C485" s="17"/>
      <c r="D485" s="17"/>
      <c r="E485" s="17"/>
      <c r="F485" s="17"/>
      <c r="G485" s="17"/>
      <c r="M485" s="17"/>
      <c r="N485" s="17"/>
      <c r="O485" s="17"/>
      <c r="P485" s="17"/>
      <c r="Q485" s="17"/>
      <c r="R485" s="17"/>
    </row>
    <row r="486">
      <c r="A486" s="18"/>
      <c r="B486" s="17"/>
      <c r="C486" s="17"/>
      <c r="D486" s="17"/>
      <c r="E486" s="17"/>
      <c r="F486" s="17"/>
      <c r="G486" s="17"/>
      <c r="M486" s="17"/>
      <c r="N486" s="17"/>
      <c r="O486" s="17"/>
      <c r="P486" s="17"/>
      <c r="Q486" s="17"/>
      <c r="R486" s="17"/>
    </row>
    <row r="487">
      <c r="A487" s="18"/>
      <c r="B487" s="17"/>
      <c r="C487" s="17"/>
      <c r="D487" s="17"/>
      <c r="E487" s="17"/>
      <c r="F487" s="17"/>
      <c r="G487" s="17"/>
      <c r="M487" s="17"/>
      <c r="N487" s="17"/>
      <c r="O487" s="17"/>
      <c r="P487" s="17"/>
      <c r="Q487" s="17"/>
      <c r="R487" s="17"/>
    </row>
    <row r="488">
      <c r="A488" s="18"/>
      <c r="B488" s="17"/>
      <c r="C488" s="17"/>
      <c r="D488" s="17"/>
      <c r="E488" s="17"/>
      <c r="F488" s="17"/>
      <c r="G488" s="17"/>
      <c r="M488" s="17"/>
      <c r="N488" s="17"/>
      <c r="O488" s="17"/>
      <c r="P488" s="17"/>
      <c r="Q488" s="17"/>
      <c r="R488" s="17"/>
    </row>
    <row r="489">
      <c r="A489" s="18"/>
      <c r="B489" s="17"/>
      <c r="C489" s="17"/>
      <c r="D489" s="17"/>
      <c r="E489" s="17"/>
      <c r="F489" s="17"/>
      <c r="G489" s="17"/>
      <c r="M489" s="17"/>
      <c r="N489" s="17"/>
      <c r="O489" s="17"/>
      <c r="P489" s="17"/>
      <c r="Q489" s="17"/>
      <c r="R489" s="17"/>
    </row>
    <row r="490">
      <c r="A490" s="18"/>
      <c r="B490" s="17"/>
      <c r="C490" s="17"/>
      <c r="D490" s="17"/>
      <c r="E490" s="17"/>
      <c r="F490" s="17"/>
      <c r="G490" s="17"/>
      <c r="M490" s="17"/>
      <c r="N490" s="17"/>
      <c r="O490" s="17"/>
      <c r="P490" s="17"/>
      <c r="Q490" s="17"/>
      <c r="R490" s="17"/>
    </row>
    <row r="491">
      <c r="A491" s="18"/>
      <c r="B491" s="17"/>
      <c r="C491" s="17"/>
      <c r="D491" s="17"/>
      <c r="E491" s="17"/>
      <c r="F491" s="17"/>
      <c r="G491" s="17"/>
      <c r="M491" s="17"/>
      <c r="N491" s="17"/>
      <c r="O491" s="17"/>
      <c r="P491" s="17"/>
      <c r="Q491" s="17"/>
      <c r="R491" s="17"/>
    </row>
    <row r="492">
      <c r="A492" s="18"/>
      <c r="B492" s="17"/>
      <c r="C492" s="17"/>
      <c r="D492" s="17"/>
      <c r="E492" s="17"/>
      <c r="F492" s="17"/>
      <c r="G492" s="17"/>
      <c r="M492" s="17"/>
      <c r="N492" s="17"/>
      <c r="O492" s="17"/>
      <c r="P492" s="17"/>
      <c r="Q492" s="17"/>
      <c r="R492" s="17"/>
    </row>
    <row r="493">
      <c r="A493" s="18"/>
      <c r="B493" s="17"/>
      <c r="C493" s="17"/>
      <c r="D493" s="17"/>
      <c r="E493" s="17"/>
      <c r="F493" s="17"/>
      <c r="G493" s="17"/>
      <c r="M493" s="17"/>
      <c r="N493" s="17"/>
      <c r="O493" s="17"/>
      <c r="P493" s="17"/>
      <c r="Q493" s="17"/>
      <c r="R493" s="17"/>
    </row>
    <row r="494">
      <c r="A494" s="18"/>
      <c r="B494" s="17"/>
      <c r="C494" s="17"/>
      <c r="D494" s="17"/>
      <c r="E494" s="17"/>
      <c r="F494" s="17"/>
      <c r="G494" s="17"/>
      <c r="M494" s="17"/>
      <c r="N494" s="17"/>
      <c r="O494" s="17"/>
      <c r="P494" s="17"/>
      <c r="Q494" s="17"/>
      <c r="R494" s="17"/>
    </row>
    <row r="495">
      <c r="A495" s="18"/>
      <c r="B495" s="17"/>
      <c r="C495" s="17"/>
      <c r="D495" s="17"/>
      <c r="E495" s="17"/>
      <c r="F495" s="17"/>
      <c r="G495" s="17"/>
      <c r="M495" s="17"/>
      <c r="N495" s="17"/>
      <c r="O495" s="17"/>
      <c r="P495" s="17"/>
      <c r="Q495" s="17"/>
      <c r="R495" s="17"/>
    </row>
    <row r="496">
      <c r="A496" s="18"/>
      <c r="B496" s="17"/>
      <c r="C496" s="17"/>
      <c r="D496" s="17"/>
      <c r="E496" s="17"/>
      <c r="F496" s="17"/>
      <c r="G496" s="17"/>
      <c r="M496" s="17"/>
      <c r="N496" s="17"/>
      <c r="O496" s="17"/>
      <c r="P496" s="17"/>
      <c r="Q496" s="17"/>
      <c r="R496" s="17"/>
    </row>
    <row r="497">
      <c r="A497" s="18"/>
      <c r="B497" s="17"/>
      <c r="C497" s="17"/>
      <c r="D497" s="17"/>
      <c r="E497" s="17"/>
      <c r="F497" s="17"/>
      <c r="G497" s="17"/>
      <c r="M497" s="17"/>
      <c r="N497" s="17"/>
      <c r="O497" s="17"/>
      <c r="P497" s="17"/>
      <c r="Q497" s="17"/>
      <c r="R497" s="17"/>
    </row>
    <row r="498">
      <c r="A498" s="18"/>
      <c r="B498" s="17"/>
      <c r="C498" s="17"/>
      <c r="D498" s="17"/>
      <c r="E498" s="17"/>
      <c r="F498" s="17"/>
      <c r="G498" s="17"/>
      <c r="M498" s="17"/>
      <c r="N498" s="17"/>
      <c r="O498" s="17"/>
      <c r="P498" s="17"/>
      <c r="Q498" s="17"/>
      <c r="R498" s="17"/>
    </row>
    <row r="499">
      <c r="A499" s="18"/>
      <c r="B499" s="17"/>
      <c r="C499" s="17"/>
      <c r="D499" s="17"/>
      <c r="E499" s="17"/>
      <c r="F499" s="17"/>
      <c r="G499" s="17"/>
      <c r="M499" s="17"/>
      <c r="N499" s="17"/>
      <c r="O499" s="17"/>
      <c r="P499" s="17"/>
      <c r="Q499" s="17"/>
      <c r="R499" s="17"/>
    </row>
    <row r="500">
      <c r="A500" s="18"/>
      <c r="B500" s="17"/>
      <c r="C500" s="17"/>
      <c r="D500" s="17"/>
      <c r="E500" s="17"/>
      <c r="F500" s="17"/>
      <c r="G500" s="17"/>
      <c r="M500" s="17"/>
      <c r="N500" s="17"/>
      <c r="O500" s="17"/>
      <c r="P500" s="17"/>
      <c r="Q500" s="17"/>
      <c r="R500" s="17"/>
    </row>
    <row r="501">
      <c r="A501" s="18"/>
      <c r="B501" s="17"/>
      <c r="C501" s="17"/>
      <c r="D501" s="17"/>
      <c r="E501" s="17"/>
      <c r="F501" s="17"/>
      <c r="G501" s="17"/>
      <c r="M501" s="17"/>
      <c r="N501" s="17"/>
      <c r="O501" s="17"/>
      <c r="P501" s="17"/>
      <c r="Q501" s="17"/>
      <c r="R501" s="17"/>
    </row>
    <row r="502">
      <c r="A502" s="18"/>
      <c r="B502" s="17"/>
      <c r="C502" s="17"/>
      <c r="D502" s="17"/>
      <c r="E502" s="17"/>
      <c r="F502" s="17"/>
      <c r="G502" s="17"/>
      <c r="M502" s="17"/>
      <c r="N502" s="17"/>
      <c r="O502" s="17"/>
      <c r="P502" s="17"/>
      <c r="Q502" s="17"/>
      <c r="R502" s="17"/>
    </row>
    <row r="503">
      <c r="A503" s="18"/>
      <c r="B503" s="17"/>
      <c r="C503" s="17"/>
      <c r="D503" s="17"/>
      <c r="E503" s="17"/>
      <c r="F503" s="17"/>
      <c r="G503" s="17"/>
      <c r="M503" s="17"/>
      <c r="N503" s="17"/>
      <c r="O503" s="17"/>
      <c r="P503" s="17"/>
      <c r="Q503" s="17"/>
      <c r="R503" s="17"/>
    </row>
    <row r="504">
      <c r="A504" s="18"/>
      <c r="B504" s="17"/>
      <c r="C504" s="17"/>
      <c r="D504" s="17"/>
      <c r="E504" s="17"/>
      <c r="F504" s="17"/>
      <c r="G504" s="17"/>
      <c r="M504" s="17"/>
      <c r="N504" s="17"/>
      <c r="O504" s="17"/>
      <c r="P504" s="17"/>
      <c r="Q504" s="17"/>
      <c r="R504" s="17"/>
    </row>
    <row r="505">
      <c r="A505" s="18"/>
      <c r="B505" s="17"/>
      <c r="C505" s="17"/>
      <c r="D505" s="17"/>
      <c r="E505" s="17"/>
      <c r="F505" s="17"/>
      <c r="G505" s="17"/>
      <c r="M505" s="17"/>
      <c r="N505" s="17"/>
      <c r="O505" s="17"/>
      <c r="P505" s="17"/>
      <c r="Q505" s="17"/>
      <c r="R505" s="17"/>
    </row>
    <row r="506">
      <c r="A506" s="18"/>
      <c r="B506" s="17"/>
      <c r="C506" s="17"/>
      <c r="D506" s="17"/>
      <c r="E506" s="17"/>
      <c r="F506" s="17"/>
      <c r="G506" s="17"/>
      <c r="M506" s="17"/>
      <c r="N506" s="17"/>
      <c r="O506" s="17"/>
      <c r="P506" s="17"/>
      <c r="Q506" s="17"/>
      <c r="R506" s="17"/>
    </row>
    <row r="507">
      <c r="A507" s="18"/>
      <c r="B507" s="17"/>
      <c r="C507" s="17"/>
      <c r="D507" s="17"/>
      <c r="E507" s="17"/>
      <c r="F507" s="17"/>
      <c r="G507" s="17"/>
      <c r="M507" s="17"/>
      <c r="N507" s="17"/>
      <c r="O507" s="17"/>
      <c r="P507" s="17"/>
      <c r="Q507" s="17"/>
      <c r="R507" s="17"/>
    </row>
    <row r="508">
      <c r="A508" s="18"/>
      <c r="B508" s="17"/>
      <c r="C508" s="17"/>
      <c r="D508" s="17"/>
      <c r="E508" s="17"/>
      <c r="F508" s="17"/>
      <c r="G508" s="17"/>
      <c r="M508" s="17"/>
      <c r="N508" s="17"/>
      <c r="O508" s="17"/>
      <c r="P508" s="17"/>
      <c r="Q508" s="17"/>
      <c r="R508" s="17"/>
    </row>
    <row r="509">
      <c r="A509" s="18"/>
      <c r="B509" s="17"/>
      <c r="C509" s="17"/>
      <c r="D509" s="17"/>
      <c r="E509" s="17"/>
      <c r="F509" s="17"/>
      <c r="G509" s="17"/>
      <c r="M509" s="17"/>
      <c r="N509" s="17"/>
      <c r="O509" s="17"/>
      <c r="P509" s="17"/>
      <c r="Q509" s="17"/>
      <c r="R509" s="17"/>
    </row>
    <row r="510">
      <c r="A510" s="18"/>
      <c r="B510" s="17"/>
      <c r="C510" s="17"/>
      <c r="D510" s="17"/>
      <c r="E510" s="17"/>
      <c r="F510" s="17"/>
      <c r="G510" s="17"/>
      <c r="M510" s="17"/>
      <c r="N510" s="17"/>
      <c r="O510" s="17"/>
      <c r="P510" s="17"/>
      <c r="Q510" s="17"/>
      <c r="R510" s="17"/>
    </row>
    <row r="511">
      <c r="A511" s="18"/>
      <c r="B511" s="17"/>
      <c r="C511" s="17"/>
      <c r="D511" s="17"/>
      <c r="E511" s="17"/>
      <c r="F511" s="17"/>
      <c r="G511" s="17"/>
      <c r="M511" s="17"/>
      <c r="N511" s="17"/>
      <c r="O511" s="17"/>
      <c r="P511" s="17"/>
      <c r="Q511" s="17"/>
      <c r="R511" s="17"/>
    </row>
    <row r="512">
      <c r="A512" s="18"/>
      <c r="B512" s="17"/>
      <c r="C512" s="17"/>
      <c r="D512" s="17"/>
      <c r="E512" s="17"/>
      <c r="F512" s="17"/>
      <c r="G512" s="17"/>
      <c r="M512" s="17"/>
      <c r="N512" s="17"/>
      <c r="O512" s="17"/>
      <c r="P512" s="17"/>
      <c r="Q512" s="17"/>
      <c r="R512" s="17"/>
    </row>
    <row r="513">
      <c r="A513" s="18"/>
      <c r="B513" s="17"/>
      <c r="C513" s="17"/>
      <c r="D513" s="17"/>
      <c r="E513" s="17"/>
      <c r="F513" s="17"/>
      <c r="G513" s="17"/>
      <c r="M513" s="17"/>
      <c r="N513" s="17"/>
      <c r="O513" s="17"/>
      <c r="P513" s="17"/>
      <c r="Q513" s="17"/>
      <c r="R513" s="17"/>
    </row>
    <row r="514">
      <c r="A514" s="18"/>
      <c r="B514" s="17"/>
      <c r="C514" s="17"/>
      <c r="D514" s="17"/>
      <c r="E514" s="17"/>
      <c r="F514" s="17"/>
      <c r="G514" s="17"/>
      <c r="M514" s="17"/>
      <c r="N514" s="17"/>
      <c r="O514" s="17"/>
      <c r="P514" s="17"/>
      <c r="Q514" s="17"/>
      <c r="R514" s="17"/>
    </row>
    <row r="515">
      <c r="A515" s="18"/>
      <c r="B515" s="17"/>
      <c r="C515" s="17"/>
      <c r="D515" s="17"/>
      <c r="E515" s="17"/>
      <c r="F515" s="17"/>
      <c r="G515" s="17"/>
      <c r="M515" s="17"/>
      <c r="N515" s="17"/>
      <c r="O515" s="17"/>
      <c r="P515" s="17"/>
      <c r="Q515" s="17"/>
      <c r="R515" s="17"/>
    </row>
    <row r="516">
      <c r="A516" s="18"/>
      <c r="B516" s="17"/>
      <c r="C516" s="17"/>
      <c r="D516" s="17"/>
      <c r="E516" s="17"/>
      <c r="F516" s="17"/>
      <c r="G516" s="17"/>
      <c r="M516" s="17"/>
      <c r="N516" s="17"/>
      <c r="O516" s="17"/>
      <c r="P516" s="17"/>
      <c r="Q516" s="17"/>
      <c r="R516" s="17"/>
    </row>
    <row r="517">
      <c r="A517" s="18"/>
      <c r="B517" s="17"/>
      <c r="C517" s="17"/>
      <c r="D517" s="17"/>
      <c r="E517" s="17"/>
      <c r="F517" s="17"/>
      <c r="G517" s="17"/>
      <c r="M517" s="17"/>
      <c r="N517" s="17"/>
      <c r="O517" s="17"/>
      <c r="P517" s="17"/>
      <c r="Q517" s="17"/>
      <c r="R517" s="17"/>
    </row>
    <row r="518">
      <c r="A518" s="18"/>
      <c r="B518" s="17"/>
      <c r="C518" s="17"/>
      <c r="D518" s="17"/>
      <c r="E518" s="17"/>
      <c r="F518" s="17"/>
      <c r="G518" s="17"/>
      <c r="M518" s="17"/>
      <c r="N518" s="17"/>
      <c r="O518" s="17"/>
      <c r="P518" s="17"/>
      <c r="Q518" s="17"/>
      <c r="R518" s="17"/>
    </row>
    <row r="519">
      <c r="A519" s="18"/>
      <c r="B519" s="17"/>
      <c r="C519" s="17"/>
      <c r="D519" s="17"/>
      <c r="E519" s="17"/>
      <c r="F519" s="17"/>
      <c r="G519" s="17"/>
      <c r="M519" s="17"/>
      <c r="N519" s="17"/>
      <c r="O519" s="17"/>
      <c r="P519" s="17"/>
      <c r="Q519" s="17"/>
      <c r="R519" s="17"/>
    </row>
    <row r="520">
      <c r="A520" s="18"/>
      <c r="B520" s="17"/>
      <c r="C520" s="17"/>
      <c r="D520" s="17"/>
      <c r="E520" s="17"/>
      <c r="F520" s="17"/>
      <c r="G520" s="17"/>
      <c r="M520" s="17"/>
      <c r="N520" s="17"/>
      <c r="O520" s="17"/>
      <c r="P520" s="17"/>
      <c r="Q520" s="17"/>
      <c r="R520" s="17"/>
    </row>
    <row r="521">
      <c r="A521" s="18"/>
      <c r="B521" s="17"/>
      <c r="C521" s="17"/>
      <c r="D521" s="17"/>
      <c r="E521" s="17"/>
      <c r="F521" s="17"/>
      <c r="G521" s="17"/>
      <c r="M521" s="17"/>
      <c r="N521" s="17"/>
      <c r="O521" s="17"/>
      <c r="P521" s="17"/>
      <c r="Q521" s="17"/>
      <c r="R521" s="17"/>
    </row>
    <row r="522">
      <c r="A522" s="18"/>
      <c r="B522" s="17"/>
      <c r="C522" s="17"/>
      <c r="D522" s="17"/>
      <c r="E522" s="17"/>
      <c r="F522" s="17"/>
      <c r="G522" s="17"/>
      <c r="M522" s="17"/>
      <c r="N522" s="17"/>
      <c r="O522" s="17"/>
      <c r="P522" s="17"/>
      <c r="Q522" s="17"/>
      <c r="R522" s="17"/>
    </row>
    <row r="523">
      <c r="A523" s="18"/>
      <c r="B523" s="17"/>
      <c r="C523" s="17"/>
      <c r="D523" s="17"/>
      <c r="E523" s="17"/>
      <c r="F523" s="17"/>
      <c r="G523" s="17"/>
      <c r="M523" s="17"/>
      <c r="N523" s="17"/>
      <c r="O523" s="17"/>
      <c r="P523" s="17"/>
      <c r="Q523" s="17"/>
      <c r="R523" s="17"/>
    </row>
    <row r="524">
      <c r="A524" s="18"/>
      <c r="B524" s="17"/>
      <c r="C524" s="17"/>
      <c r="D524" s="17"/>
      <c r="E524" s="17"/>
      <c r="F524" s="17"/>
      <c r="G524" s="17"/>
      <c r="M524" s="17"/>
      <c r="N524" s="17"/>
      <c r="O524" s="17"/>
      <c r="P524" s="17"/>
      <c r="Q524" s="17"/>
      <c r="R524" s="17"/>
    </row>
    <row r="525">
      <c r="A525" s="18"/>
      <c r="B525" s="17"/>
      <c r="C525" s="17"/>
      <c r="D525" s="17"/>
      <c r="E525" s="17"/>
      <c r="F525" s="17"/>
      <c r="G525" s="17"/>
      <c r="M525" s="17"/>
      <c r="N525" s="17"/>
      <c r="O525" s="17"/>
      <c r="P525" s="17"/>
      <c r="Q525" s="17"/>
      <c r="R525" s="17"/>
    </row>
    <row r="526">
      <c r="A526" s="18"/>
      <c r="B526" s="17"/>
      <c r="C526" s="17"/>
      <c r="D526" s="17"/>
      <c r="E526" s="17"/>
      <c r="F526" s="17"/>
      <c r="G526" s="17"/>
      <c r="M526" s="17"/>
      <c r="N526" s="17"/>
      <c r="O526" s="17"/>
      <c r="P526" s="17"/>
      <c r="Q526" s="17"/>
      <c r="R526" s="17"/>
    </row>
    <row r="527">
      <c r="A527" s="18"/>
      <c r="B527" s="17"/>
      <c r="C527" s="17"/>
      <c r="D527" s="17"/>
      <c r="E527" s="17"/>
      <c r="F527" s="17"/>
      <c r="G527" s="17"/>
      <c r="M527" s="17"/>
      <c r="N527" s="17"/>
      <c r="O527" s="17"/>
      <c r="P527" s="17"/>
      <c r="Q527" s="17"/>
      <c r="R527" s="17"/>
    </row>
    <row r="528">
      <c r="A528" s="18"/>
      <c r="B528" s="17"/>
      <c r="C528" s="17"/>
      <c r="D528" s="17"/>
      <c r="E528" s="17"/>
      <c r="F528" s="17"/>
      <c r="G528" s="17"/>
      <c r="M528" s="17"/>
      <c r="N528" s="17"/>
      <c r="O528" s="17"/>
      <c r="P528" s="17"/>
      <c r="Q528" s="17"/>
      <c r="R528" s="17"/>
    </row>
    <row r="529">
      <c r="A529" s="18"/>
      <c r="B529" s="17"/>
      <c r="C529" s="17"/>
      <c r="D529" s="17"/>
      <c r="E529" s="17"/>
      <c r="F529" s="17"/>
      <c r="G529" s="17"/>
      <c r="M529" s="17"/>
      <c r="N529" s="17"/>
      <c r="O529" s="17"/>
      <c r="P529" s="17"/>
      <c r="Q529" s="17"/>
      <c r="R529" s="17"/>
    </row>
    <row r="530">
      <c r="A530" s="18"/>
      <c r="B530" s="17"/>
      <c r="C530" s="17"/>
      <c r="D530" s="17"/>
      <c r="E530" s="17"/>
      <c r="F530" s="17"/>
      <c r="G530" s="17"/>
      <c r="M530" s="17"/>
      <c r="N530" s="17"/>
      <c r="O530" s="17"/>
      <c r="P530" s="17"/>
      <c r="Q530" s="17"/>
      <c r="R530" s="17"/>
    </row>
    <row r="531">
      <c r="A531" s="18"/>
      <c r="B531" s="17"/>
      <c r="C531" s="17"/>
      <c r="D531" s="17"/>
      <c r="E531" s="17"/>
      <c r="F531" s="17"/>
      <c r="G531" s="17"/>
      <c r="M531" s="17"/>
      <c r="N531" s="17"/>
      <c r="O531" s="17"/>
      <c r="P531" s="17"/>
      <c r="Q531" s="17"/>
      <c r="R531" s="17"/>
    </row>
    <row r="532">
      <c r="A532" s="18"/>
      <c r="B532" s="17"/>
      <c r="C532" s="17"/>
      <c r="D532" s="17"/>
      <c r="E532" s="17"/>
      <c r="F532" s="17"/>
      <c r="G532" s="17"/>
      <c r="M532" s="17"/>
      <c r="N532" s="17"/>
      <c r="O532" s="17"/>
      <c r="P532" s="17"/>
      <c r="Q532" s="17"/>
      <c r="R532" s="17"/>
    </row>
    <row r="533">
      <c r="A533" s="18"/>
      <c r="B533" s="17"/>
      <c r="C533" s="17"/>
      <c r="D533" s="17"/>
      <c r="E533" s="17"/>
      <c r="F533" s="17"/>
      <c r="G533" s="17"/>
      <c r="M533" s="17"/>
      <c r="N533" s="17"/>
      <c r="O533" s="17"/>
      <c r="P533" s="17"/>
      <c r="Q533" s="17"/>
      <c r="R533" s="17"/>
    </row>
    <row r="534">
      <c r="A534" s="18"/>
      <c r="B534" s="17"/>
      <c r="C534" s="17"/>
      <c r="D534" s="17"/>
      <c r="E534" s="17"/>
      <c r="F534" s="17"/>
      <c r="G534" s="17"/>
      <c r="M534" s="17"/>
      <c r="N534" s="17"/>
      <c r="O534" s="17"/>
      <c r="P534" s="17"/>
      <c r="Q534" s="17"/>
      <c r="R534" s="17"/>
    </row>
    <row r="535">
      <c r="A535" s="18"/>
      <c r="B535" s="17"/>
      <c r="C535" s="17"/>
      <c r="D535" s="17"/>
      <c r="E535" s="17"/>
      <c r="F535" s="17"/>
      <c r="G535" s="17"/>
      <c r="M535" s="17"/>
      <c r="N535" s="17"/>
      <c r="O535" s="17"/>
      <c r="P535" s="17"/>
      <c r="Q535" s="17"/>
      <c r="R535" s="17"/>
    </row>
    <row r="536">
      <c r="A536" s="18"/>
      <c r="B536" s="17"/>
      <c r="C536" s="17"/>
      <c r="D536" s="17"/>
      <c r="E536" s="17"/>
      <c r="F536" s="17"/>
      <c r="G536" s="17"/>
      <c r="M536" s="17"/>
      <c r="N536" s="17"/>
      <c r="O536" s="17"/>
      <c r="P536" s="17"/>
      <c r="Q536" s="17"/>
      <c r="R536" s="17"/>
    </row>
    <row r="537">
      <c r="A537" s="18"/>
      <c r="B537" s="17"/>
      <c r="C537" s="17"/>
      <c r="D537" s="17"/>
      <c r="E537" s="17"/>
      <c r="F537" s="17"/>
      <c r="G537" s="17"/>
      <c r="M537" s="17"/>
      <c r="N537" s="17"/>
      <c r="O537" s="17"/>
      <c r="P537" s="17"/>
      <c r="Q537" s="17"/>
      <c r="R537" s="17"/>
    </row>
    <row r="538">
      <c r="A538" s="18"/>
      <c r="B538" s="17"/>
      <c r="C538" s="17"/>
      <c r="D538" s="17"/>
      <c r="E538" s="17"/>
      <c r="F538" s="17"/>
      <c r="G538" s="17"/>
      <c r="M538" s="17"/>
      <c r="N538" s="17"/>
      <c r="O538" s="17"/>
      <c r="P538" s="17"/>
      <c r="Q538" s="17"/>
      <c r="R538" s="17"/>
    </row>
    <row r="539">
      <c r="A539" s="18"/>
      <c r="B539" s="17"/>
      <c r="C539" s="17"/>
      <c r="D539" s="17"/>
      <c r="E539" s="17"/>
      <c r="F539" s="17"/>
      <c r="G539" s="17"/>
      <c r="M539" s="17"/>
      <c r="N539" s="17"/>
      <c r="O539" s="17"/>
      <c r="P539" s="17"/>
      <c r="Q539" s="17"/>
      <c r="R539" s="17"/>
    </row>
    <row r="540">
      <c r="A540" s="18"/>
      <c r="B540" s="17"/>
      <c r="C540" s="17"/>
      <c r="D540" s="17"/>
      <c r="E540" s="17"/>
      <c r="F540" s="17"/>
      <c r="G540" s="17"/>
      <c r="M540" s="17"/>
      <c r="N540" s="17"/>
      <c r="O540" s="17"/>
      <c r="P540" s="17"/>
      <c r="Q540" s="17"/>
      <c r="R540" s="17"/>
    </row>
    <row r="541">
      <c r="A541" s="18"/>
      <c r="B541" s="17"/>
      <c r="C541" s="17"/>
      <c r="D541" s="17"/>
      <c r="E541" s="17"/>
      <c r="F541" s="17"/>
      <c r="G541" s="17"/>
      <c r="M541" s="17"/>
      <c r="N541" s="17"/>
      <c r="O541" s="17"/>
      <c r="P541" s="17"/>
      <c r="Q541" s="17"/>
      <c r="R541" s="17"/>
    </row>
    <row r="542">
      <c r="A542" s="18"/>
      <c r="B542" s="17"/>
      <c r="C542" s="17"/>
      <c r="D542" s="17"/>
      <c r="E542" s="17"/>
      <c r="F542" s="17"/>
      <c r="G542" s="17"/>
      <c r="M542" s="17"/>
      <c r="N542" s="17"/>
      <c r="O542" s="17"/>
      <c r="P542" s="17"/>
      <c r="Q542" s="17"/>
      <c r="R542" s="17"/>
    </row>
    <row r="543">
      <c r="A543" s="18"/>
      <c r="B543" s="17"/>
      <c r="C543" s="17"/>
      <c r="D543" s="17"/>
      <c r="E543" s="17"/>
      <c r="F543" s="17"/>
      <c r="G543" s="17"/>
      <c r="M543" s="17"/>
      <c r="N543" s="17"/>
      <c r="O543" s="17"/>
      <c r="P543" s="17"/>
      <c r="Q543" s="17"/>
      <c r="R543" s="17"/>
    </row>
    <row r="544">
      <c r="A544" s="18"/>
      <c r="B544" s="17"/>
      <c r="C544" s="17"/>
      <c r="D544" s="17"/>
      <c r="E544" s="17"/>
      <c r="F544" s="17"/>
      <c r="G544" s="17"/>
      <c r="M544" s="17"/>
      <c r="N544" s="17"/>
      <c r="O544" s="17"/>
      <c r="P544" s="17"/>
      <c r="Q544" s="17"/>
      <c r="R544" s="17"/>
    </row>
    <row r="545">
      <c r="A545" s="18"/>
      <c r="B545" s="17"/>
      <c r="C545" s="17"/>
      <c r="D545" s="17"/>
      <c r="E545" s="17"/>
      <c r="F545" s="17"/>
      <c r="G545" s="17"/>
      <c r="M545" s="17"/>
      <c r="N545" s="17"/>
      <c r="O545" s="17"/>
      <c r="P545" s="17"/>
      <c r="Q545" s="17"/>
      <c r="R545" s="17"/>
    </row>
    <row r="546">
      <c r="A546" s="18"/>
      <c r="B546" s="17"/>
      <c r="C546" s="17"/>
      <c r="D546" s="17"/>
      <c r="E546" s="17"/>
      <c r="F546" s="17"/>
      <c r="G546" s="17"/>
      <c r="M546" s="17"/>
      <c r="N546" s="17"/>
      <c r="O546" s="17"/>
      <c r="P546" s="17"/>
      <c r="Q546" s="17"/>
      <c r="R546" s="17"/>
    </row>
    <row r="547">
      <c r="A547" s="18"/>
      <c r="B547" s="17"/>
      <c r="C547" s="17"/>
      <c r="D547" s="17"/>
      <c r="E547" s="17"/>
      <c r="F547" s="17"/>
      <c r="G547" s="17"/>
      <c r="M547" s="17"/>
      <c r="N547" s="17"/>
      <c r="O547" s="17"/>
      <c r="P547" s="17"/>
      <c r="Q547" s="17"/>
      <c r="R547" s="17"/>
    </row>
    <row r="548">
      <c r="A548" s="18"/>
      <c r="B548" s="17"/>
      <c r="C548" s="17"/>
      <c r="D548" s="17"/>
      <c r="E548" s="17"/>
      <c r="F548" s="17"/>
      <c r="G548" s="17"/>
      <c r="M548" s="17"/>
      <c r="N548" s="17"/>
      <c r="O548" s="17"/>
      <c r="P548" s="17"/>
      <c r="Q548" s="17"/>
      <c r="R548" s="17"/>
    </row>
    <row r="549">
      <c r="A549" s="18"/>
      <c r="B549" s="17"/>
      <c r="C549" s="17"/>
      <c r="D549" s="17"/>
      <c r="E549" s="17"/>
      <c r="F549" s="17"/>
      <c r="G549" s="17"/>
      <c r="M549" s="17"/>
      <c r="N549" s="17"/>
      <c r="O549" s="17"/>
      <c r="P549" s="17"/>
      <c r="Q549" s="17"/>
      <c r="R549" s="17"/>
    </row>
    <row r="550">
      <c r="A550" s="18"/>
      <c r="B550" s="17"/>
      <c r="C550" s="17"/>
      <c r="D550" s="17"/>
      <c r="E550" s="17"/>
      <c r="F550" s="17"/>
      <c r="G550" s="17"/>
      <c r="M550" s="17"/>
      <c r="N550" s="17"/>
      <c r="O550" s="17"/>
      <c r="P550" s="17"/>
      <c r="Q550" s="17"/>
      <c r="R550" s="17"/>
    </row>
    <row r="551">
      <c r="A551" s="18"/>
      <c r="B551" s="17"/>
      <c r="C551" s="17"/>
      <c r="D551" s="17"/>
      <c r="E551" s="17"/>
      <c r="F551" s="17"/>
      <c r="G551" s="17"/>
      <c r="M551" s="17"/>
      <c r="N551" s="17"/>
      <c r="O551" s="17"/>
      <c r="P551" s="17"/>
      <c r="Q551" s="17"/>
      <c r="R551" s="17"/>
    </row>
    <row r="552">
      <c r="A552" s="18"/>
      <c r="B552" s="17"/>
      <c r="C552" s="17"/>
      <c r="D552" s="17"/>
      <c r="E552" s="17"/>
      <c r="F552" s="17"/>
      <c r="G552" s="17"/>
      <c r="M552" s="17"/>
      <c r="N552" s="17"/>
      <c r="O552" s="17"/>
      <c r="P552" s="17"/>
      <c r="Q552" s="17"/>
      <c r="R552" s="17"/>
    </row>
    <row r="553">
      <c r="A553" s="18"/>
      <c r="B553" s="17"/>
      <c r="C553" s="17"/>
      <c r="D553" s="17"/>
      <c r="E553" s="17"/>
      <c r="F553" s="17"/>
      <c r="G553" s="17"/>
      <c r="M553" s="17"/>
      <c r="N553" s="17"/>
      <c r="O553" s="17"/>
      <c r="P553" s="17"/>
      <c r="Q553" s="17"/>
      <c r="R553" s="17"/>
    </row>
    <row r="554">
      <c r="A554" s="18"/>
      <c r="B554" s="17"/>
      <c r="C554" s="17"/>
      <c r="D554" s="17"/>
      <c r="E554" s="17"/>
      <c r="F554" s="17"/>
      <c r="G554" s="17"/>
      <c r="M554" s="17"/>
      <c r="N554" s="17"/>
      <c r="O554" s="17"/>
      <c r="P554" s="17"/>
      <c r="Q554" s="17"/>
      <c r="R554" s="17"/>
    </row>
    <row r="555">
      <c r="A555" s="18"/>
      <c r="B555" s="17"/>
      <c r="C555" s="17"/>
      <c r="D555" s="17"/>
      <c r="E555" s="17"/>
      <c r="F555" s="17"/>
      <c r="G555" s="17"/>
      <c r="M555" s="17"/>
      <c r="N555" s="17"/>
      <c r="O555" s="17"/>
      <c r="P555" s="17"/>
      <c r="Q555" s="17"/>
      <c r="R555" s="17"/>
    </row>
    <row r="556">
      <c r="A556" s="18"/>
      <c r="B556" s="17"/>
      <c r="C556" s="17"/>
      <c r="D556" s="17"/>
      <c r="E556" s="17"/>
      <c r="F556" s="17"/>
      <c r="G556" s="17"/>
      <c r="M556" s="17"/>
      <c r="N556" s="17"/>
      <c r="O556" s="17"/>
      <c r="P556" s="17"/>
      <c r="Q556" s="17"/>
      <c r="R556" s="17"/>
    </row>
    <row r="557">
      <c r="A557" s="18"/>
      <c r="B557" s="17"/>
      <c r="C557" s="17"/>
      <c r="D557" s="17"/>
      <c r="E557" s="17"/>
      <c r="F557" s="17"/>
      <c r="G557" s="17"/>
      <c r="M557" s="17"/>
      <c r="N557" s="17"/>
      <c r="O557" s="17"/>
      <c r="P557" s="17"/>
      <c r="Q557" s="17"/>
      <c r="R557" s="17"/>
    </row>
    <row r="558">
      <c r="A558" s="18"/>
      <c r="B558" s="17"/>
      <c r="C558" s="17"/>
      <c r="D558" s="17"/>
      <c r="E558" s="17"/>
      <c r="F558" s="17"/>
      <c r="G558" s="17"/>
      <c r="M558" s="17"/>
      <c r="N558" s="17"/>
      <c r="O558" s="17"/>
      <c r="P558" s="17"/>
      <c r="Q558" s="17"/>
      <c r="R558" s="17"/>
    </row>
    <row r="559">
      <c r="A559" s="18"/>
      <c r="B559" s="17"/>
      <c r="C559" s="17"/>
      <c r="D559" s="17"/>
      <c r="E559" s="17"/>
      <c r="F559" s="17"/>
      <c r="G559" s="17"/>
      <c r="M559" s="17"/>
      <c r="N559" s="17"/>
      <c r="O559" s="17"/>
      <c r="P559" s="17"/>
      <c r="Q559" s="17"/>
      <c r="R559" s="17"/>
    </row>
    <row r="560">
      <c r="A560" s="18"/>
      <c r="B560" s="17"/>
      <c r="C560" s="17"/>
      <c r="D560" s="17"/>
      <c r="E560" s="17"/>
      <c r="F560" s="17"/>
      <c r="G560" s="17"/>
      <c r="M560" s="17"/>
      <c r="N560" s="17"/>
      <c r="O560" s="17"/>
      <c r="P560" s="17"/>
      <c r="Q560" s="17"/>
      <c r="R560" s="17"/>
    </row>
    <row r="561">
      <c r="A561" s="18"/>
      <c r="B561" s="17"/>
      <c r="C561" s="17"/>
      <c r="D561" s="17"/>
      <c r="E561" s="17"/>
      <c r="F561" s="17"/>
      <c r="G561" s="17"/>
      <c r="M561" s="17"/>
      <c r="N561" s="17"/>
      <c r="O561" s="17"/>
      <c r="P561" s="17"/>
      <c r="Q561" s="17"/>
      <c r="R561" s="17"/>
    </row>
    <row r="562">
      <c r="A562" s="18"/>
      <c r="B562" s="17"/>
      <c r="C562" s="17"/>
      <c r="D562" s="17"/>
      <c r="E562" s="17"/>
      <c r="F562" s="17"/>
      <c r="G562" s="17"/>
      <c r="M562" s="17"/>
      <c r="N562" s="17"/>
      <c r="O562" s="17"/>
      <c r="P562" s="17"/>
      <c r="Q562" s="17"/>
      <c r="R562" s="17"/>
    </row>
    <row r="563">
      <c r="A563" s="18"/>
      <c r="B563" s="17"/>
      <c r="C563" s="17"/>
      <c r="D563" s="17"/>
      <c r="E563" s="17"/>
      <c r="F563" s="17"/>
      <c r="G563" s="17"/>
      <c r="M563" s="17"/>
      <c r="N563" s="17"/>
      <c r="O563" s="17"/>
      <c r="P563" s="17"/>
      <c r="Q563" s="17"/>
      <c r="R563" s="17"/>
    </row>
    <row r="564">
      <c r="A564" s="18"/>
      <c r="B564" s="17"/>
      <c r="C564" s="17"/>
      <c r="D564" s="17"/>
      <c r="E564" s="17"/>
      <c r="F564" s="17"/>
      <c r="G564" s="17"/>
      <c r="M564" s="17"/>
      <c r="N564" s="17"/>
      <c r="O564" s="17"/>
      <c r="P564" s="17"/>
      <c r="Q564" s="17"/>
      <c r="R564" s="17"/>
    </row>
    <row r="565">
      <c r="A565" s="18"/>
      <c r="B565" s="17"/>
      <c r="C565" s="17"/>
      <c r="D565" s="17"/>
      <c r="E565" s="17"/>
      <c r="F565" s="17"/>
      <c r="G565" s="17"/>
      <c r="M565" s="17"/>
      <c r="N565" s="17"/>
      <c r="O565" s="17"/>
      <c r="P565" s="17"/>
      <c r="Q565" s="17"/>
      <c r="R565" s="17"/>
    </row>
    <row r="566">
      <c r="A566" s="18"/>
      <c r="B566" s="17"/>
      <c r="C566" s="17"/>
      <c r="D566" s="17"/>
      <c r="E566" s="17"/>
      <c r="F566" s="17"/>
      <c r="G566" s="17"/>
      <c r="M566" s="17"/>
      <c r="N566" s="17"/>
      <c r="O566" s="17"/>
      <c r="P566" s="17"/>
      <c r="Q566" s="17"/>
      <c r="R566" s="17"/>
    </row>
    <row r="567">
      <c r="A567" s="18"/>
      <c r="B567" s="17"/>
      <c r="C567" s="17"/>
      <c r="D567" s="17"/>
      <c r="E567" s="17"/>
      <c r="F567" s="17"/>
      <c r="G567" s="17"/>
      <c r="M567" s="17"/>
      <c r="N567" s="17"/>
      <c r="O567" s="17"/>
      <c r="P567" s="17"/>
      <c r="Q567" s="17"/>
      <c r="R567" s="17"/>
    </row>
    <row r="568">
      <c r="A568" s="18"/>
      <c r="B568" s="17"/>
      <c r="C568" s="17"/>
      <c r="D568" s="17"/>
      <c r="E568" s="17"/>
      <c r="F568" s="17"/>
      <c r="G568" s="17"/>
      <c r="M568" s="17"/>
      <c r="N568" s="17"/>
      <c r="O568" s="17"/>
      <c r="P568" s="17"/>
      <c r="Q568" s="17"/>
      <c r="R568" s="17"/>
    </row>
    <row r="569">
      <c r="A569" s="18"/>
      <c r="B569" s="17"/>
      <c r="C569" s="17"/>
      <c r="D569" s="17"/>
      <c r="E569" s="17"/>
      <c r="F569" s="17"/>
      <c r="G569" s="17"/>
      <c r="M569" s="17"/>
      <c r="N569" s="17"/>
      <c r="O569" s="17"/>
      <c r="P569" s="17"/>
      <c r="Q569" s="17"/>
      <c r="R569" s="17"/>
    </row>
    <row r="570">
      <c r="A570" s="18"/>
      <c r="B570" s="17"/>
      <c r="C570" s="17"/>
      <c r="D570" s="17"/>
      <c r="E570" s="17"/>
      <c r="F570" s="17"/>
      <c r="G570" s="17"/>
      <c r="M570" s="17"/>
      <c r="N570" s="17"/>
      <c r="O570" s="17"/>
      <c r="P570" s="17"/>
      <c r="Q570" s="17"/>
      <c r="R570" s="17"/>
    </row>
    <row r="571">
      <c r="A571" s="18"/>
      <c r="B571" s="17"/>
      <c r="C571" s="17"/>
      <c r="D571" s="17"/>
      <c r="E571" s="17"/>
      <c r="F571" s="17"/>
      <c r="G571" s="17"/>
      <c r="M571" s="17"/>
      <c r="N571" s="17"/>
      <c r="O571" s="17"/>
      <c r="P571" s="17"/>
      <c r="Q571" s="17"/>
      <c r="R571" s="17"/>
    </row>
    <row r="572">
      <c r="A572" s="18"/>
      <c r="B572" s="17"/>
      <c r="C572" s="17"/>
      <c r="D572" s="17"/>
      <c r="E572" s="17"/>
      <c r="F572" s="17"/>
      <c r="G572" s="17"/>
      <c r="M572" s="17"/>
      <c r="N572" s="17"/>
      <c r="O572" s="17"/>
      <c r="P572" s="17"/>
      <c r="Q572" s="17"/>
      <c r="R572" s="17"/>
    </row>
    <row r="573">
      <c r="A573" s="18"/>
      <c r="B573" s="17"/>
      <c r="C573" s="17"/>
      <c r="D573" s="17"/>
      <c r="E573" s="17"/>
      <c r="F573" s="17"/>
      <c r="G573" s="17"/>
      <c r="M573" s="17"/>
      <c r="N573" s="17"/>
      <c r="O573" s="17"/>
      <c r="P573" s="17"/>
      <c r="Q573" s="17"/>
      <c r="R573" s="17"/>
    </row>
    <row r="574">
      <c r="A574" s="18"/>
      <c r="B574" s="17"/>
      <c r="C574" s="17"/>
      <c r="D574" s="17"/>
      <c r="E574" s="17"/>
      <c r="F574" s="17"/>
      <c r="G574" s="17"/>
      <c r="M574" s="17"/>
      <c r="N574" s="17"/>
      <c r="O574" s="17"/>
      <c r="P574" s="17"/>
      <c r="Q574" s="17"/>
      <c r="R574" s="17"/>
    </row>
    <row r="575">
      <c r="A575" s="18"/>
      <c r="B575" s="17"/>
      <c r="C575" s="17"/>
      <c r="D575" s="17"/>
      <c r="E575" s="17"/>
      <c r="F575" s="17"/>
      <c r="G575" s="17"/>
      <c r="M575" s="17"/>
      <c r="N575" s="17"/>
      <c r="O575" s="17"/>
      <c r="P575" s="17"/>
      <c r="Q575" s="17"/>
      <c r="R575" s="17"/>
    </row>
    <row r="576">
      <c r="A576" s="18"/>
      <c r="B576" s="17"/>
      <c r="C576" s="17"/>
      <c r="D576" s="17"/>
      <c r="E576" s="17"/>
      <c r="F576" s="17"/>
      <c r="G576" s="17"/>
      <c r="M576" s="17"/>
      <c r="N576" s="17"/>
      <c r="O576" s="17"/>
      <c r="P576" s="17"/>
      <c r="Q576" s="17"/>
      <c r="R576" s="17"/>
    </row>
    <row r="577">
      <c r="A577" s="18"/>
      <c r="B577" s="17"/>
      <c r="C577" s="17"/>
      <c r="D577" s="17"/>
      <c r="E577" s="17"/>
      <c r="F577" s="17"/>
      <c r="G577" s="17"/>
      <c r="M577" s="17"/>
      <c r="N577" s="17"/>
      <c r="O577" s="17"/>
      <c r="P577" s="17"/>
      <c r="Q577" s="17"/>
      <c r="R577" s="17"/>
    </row>
    <row r="578">
      <c r="A578" s="18"/>
      <c r="B578" s="17"/>
      <c r="C578" s="17"/>
      <c r="D578" s="17"/>
      <c r="E578" s="17"/>
      <c r="F578" s="17"/>
      <c r="G578" s="17"/>
      <c r="M578" s="17"/>
      <c r="N578" s="17"/>
      <c r="O578" s="17"/>
      <c r="P578" s="17"/>
      <c r="Q578" s="17"/>
      <c r="R578" s="17"/>
    </row>
    <row r="579">
      <c r="A579" s="18"/>
      <c r="B579" s="17"/>
      <c r="C579" s="17"/>
      <c r="D579" s="17"/>
      <c r="E579" s="17"/>
      <c r="F579" s="17"/>
      <c r="G579" s="17"/>
      <c r="M579" s="17"/>
      <c r="N579" s="17"/>
      <c r="O579" s="17"/>
      <c r="P579" s="17"/>
      <c r="Q579" s="17"/>
      <c r="R579" s="17"/>
    </row>
    <row r="580">
      <c r="A580" s="18"/>
      <c r="B580" s="17"/>
      <c r="C580" s="17"/>
      <c r="D580" s="17"/>
      <c r="E580" s="17"/>
      <c r="F580" s="17"/>
      <c r="G580" s="17"/>
      <c r="M580" s="17"/>
      <c r="N580" s="17"/>
      <c r="O580" s="17"/>
      <c r="P580" s="17"/>
      <c r="Q580" s="17"/>
      <c r="R580" s="17"/>
    </row>
    <row r="581">
      <c r="A581" s="18"/>
      <c r="B581" s="17"/>
      <c r="C581" s="17"/>
      <c r="D581" s="17"/>
      <c r="E581" s="17"/>
      <c r="F581" s="17"/>
      <c r="G581" s="17"/>
      <c r="M581" s="17"/>
      <c r="N581" s="17"/>
      <c r="O581" s="17"/>
      <c r="P581" s="17"/>
      <c r="Q581" s="17"/>
      <c r="R581" s="17"/>
    </row>
    <row r="582">
      <c r="A582" s="18"/>
      <c r="B582" s="17"/>
      <c r="C582" s="17"/>
      <c r="D582" s="17"/>
      <c r="E582" s="17"/>
      <c r="F582" s="17"/>
      <c r="G582" s="17"/>
      <c r="M582" s="17"/>
      <c r="N582" s="17"/>
      <c r="O582" s="17"/>
      <c r="P582" s="17"/>
      <c r="Q582" s="17"/>
      <c r="R582" s="17"/>
    </row>
    <row r="583">
      <c r="A583" s="18"/>
      <c r="B583" s="17"/>
      <c r="C583" s="17"/>
      <c r="D583" s="17"/>
      <c r="E583" s="17"/>
      <c r="F583" s="17"/>
      <c r="G583" s="17"/>
      <c r="M583" s="17"/>
      <c r="N583" s="17"/>
      <c r="O583" s="17"/>
      <c r="P583" s="17"/>
      <c r="Q583" s="17"/>
      <c r="R583" s="17"/>
    </row>
    <row r="584">
      <c r="A584" s="18"/>
      <c r="B584" s="17"/>
      <c r="C584" s="17"/>
      <c r="D584" s="17"/>
      <c r="E584" s="17"/>
      <c r="F584" s="17"/>
      <c r="G584" s="17"/>
      <c r="M584" s="17"/>
      <c r="N584" s="17"/>
      <c r="O584" s="17"/>
      <c r="P584" s="17"/>
      <c r="Q584" s="17"/>
      <c r="R584" s="17"/>
    </row>
    <row r="585">
      <c r="A585" s="18"/>
      <c r="B585" s="17"/>
      <c r="C585" s="17"/>
      <c r="D585" s="17"/>
      <c r="E585" s="17"/>
      <c r="F585" s="17"/>
      <c r="G585" s="17"/>
      <c r="M585" s="17"/>
      <c r="N585" s="17"/>
      <c r="O585" s="17"/>
      <c r="P585" s="17"/>
      <c r="Q585" s="17"/>
      <c r="R585" s="17"/>
    </row>
    <row r="586">
      <c r="A586" s="18"/>
      <c r="B586" s="17"/>
      <c r="C586" s="17"/>
      <c r="D586" s="17"/>
      <c r="E586" s="17"/>
      <c r="F586" s="17"/>
      <c r="G586" s="17"/>
      <c r="M586" s="17"/>
      <c r="N586" s="17"/>
      <c r="O586" s="17"/>
      <c r="P586" s="17"/>
      <c r="Q586" s="17"/>
      <c r="R586" s="17"/>
    </row>
    <row r="587">
      <c r="A587" s="18"/>
      <c r="B587" s="17"/>
      <c r="C587" s="17"/>
      <c r="D587" s="17"/>
      <c r="E587" s="17"/>
      <c r="F587" s="17"/>
      <c r="G587" s="17"/>
      <c r="M587" s="17"/>
      <c r="N587" s="17"/>
      <c r="O587" s="17"/>
      <c r="P587" s="17"/>
      <c r="Q587" s="17"/>
      <c r="R587" s="17"/>
    </row>
    <row r="588">
      <c r="A588" s="18"/>
      <c r="B588" s="17"/>
      <c r="C588" s="17"/>
      <c r="D588" s="17"/>
      <c r="E588" s="17"/>
      <c r="F588" s="17"/>
      <c r="G588" s="17"/>
      <c r="M588" s="17"/>
      <c r="N588" s="17"/>
      <c r="O588" s="17"/>
      <c r="P588" s="17"/>
      <c r="Q588" s="17"/>
      <c r="R588" s="17"/>
    </row>
    <row r="589">
      <c r="A589" s="18"/>
      <c r="B589" s="17"/>
      <c r="C589" s="17"/>
      <c r="D589" s="17"/>
      <c r="E589" s="17"/>
      <c r="F589" s="17"/>
      <c r="G589" s="17"/>
      <c r="M589" s="17"/>
      <c r="N589" s="17"/>
      <c r="O589" s="17"/>
      <c r="P589" s="17"/>
      <c r="Q589" s="17"/>
      <c r="R589" s="17"/>
    </row>
    <row r="590">
      <c r="A590" s="18"/>
      <c r="B590" s="17"/>
      <c r="C590" s="17"/>
      <c r="D590" s="17"/>
      <c r="E590" s="17"/>
      <c r="F590" s="17"/>
      <c r="G590" s="17"/>
      <c r="M590" s="17"/>
      <c r="N590" s="17"/>
      <c r="O590" s="17"/>
      <c r="P590" s="17"/>
      <c r="Q590" s="17"/>
      <c r="R590" s="17"/>
    </row>
    <row r="591">
      <c r="A591" s="18"/>
      <c r="B591" s="17"/>
      <c r="C591" s="17"/>
      <c r="D591" s="17"/>
      <c r="E591" s="17"/>
      <c r="F591" s="17"/>
      <c r="G591" s="17"/>
      <c r="M591" s="17"/>
      <c r="N591" s="17"/>
      <c r="O591" s="17"/>
      <c r="P591" s="17"/>
      <c r="Q591" s="17"/>
      <c r="R591" s="17"/>
    </row>
    <row r="592">
      <c r="A592" s="18"/>
      <c r="B592" s="17"/>
      <c r="C592" s="17"/>
      <c r="D592" s="17"/>
      <c r="E592" s="17"/>
      <c r="F592" s="17"/>
      <c r="G592" s="17"/>
      <c r="M592" s="17"/>
      <c r="N592" s="17"/>
      <c r="O592" s="17"/>
      <c r="P592" s="17"/>
      <c r="Q592" s="17"/>
      <c r="R592" s="17"/>
    </row>
    <row r="593">
      <c r="A593" s="18"/>
      <c r="B593" s="17"/>
      <c r="C593" s="17"/>
      <c r="D593" s="17"/>
      <c r="E593" s="17"/>
      <c r="F593" s="17"/>
      <c r="G593" s="17"/>
      <c r="M593" s="17"/>
      <c r="N593" s="17"/>
      <c r="O593" s="17"/>
      <c r="P593" s="17"/>
      <c r="Q593" s="17"/>
      <c r="R593" s="17"/>
    </row>
    <row r="594">
      <c r="A594" s="18"/>
      <c r="B594" s="17"/>
      <c r="C594" s="17"/>
      <c r="D594" s="17"/>
      <c r="E594" s="17"/>
      <c r="F594" s="17"/>
      <c r="G594" s="17"/>
      <c r="M594" s="17"/>
      <c r="N594" s="17"/>
      <c r="O594" s="17"/>
      <c r="P594" s="17"/>
      <c r="Q594" s="17"/>
      <c r="R594" s="17"/>
    </row>
    <row r="595">
      <c r="A595" s="18"/>
      <c r="B595" s="17"/>
      <c r="C595" s="17"/>
      <c r="D595" s="17"/>
      <c r="E595" s="17"/>
      <c r="F595" s="17"/>
      <c r="G595" s="17"/>
      <c r="M595" s="17"/>
      <c r="N595" s="17"/>
      <c r="O595" s="17"/>
      <c r="P595" s="17"/>
      <c r="Q595" s="17"/>
      <c r="R595" s="17"/>
    </row>
    <row r="596">
      <c r="A596" s="18"/>
      <c r="B596" s="17"/>
      <c r="C596" s="17"/>
      <c r="D596" s="17"/>
      <c r="E596" s="17"/>
      <c r="F596" s="17"/>
      <c r="G596" s="17"/>
      <c r="M596" s="17"/>
      <c r="N596" s="17"/>
      <c r="O596" s="17"/>
      <c r="P596" s="17"/>
      <c r="Q596" s="17"/>
      <c r="R596" s="17"/>
    </row>
    <row r="597">
      <c r="A597" s="18"/>
      <c r="B597" s="17"/>
      <c r="C597" s="17"/>
      <c r="D597" s="17"/>
      <c r="E597" s="17"/>
      <c r="F597" s="17"/>
      <c r="G597" s="17"/>
      <c r="M597" s="17"/>
      <c r="N597" s="17"/>
      <c r="O597" s="17"/>
      <c r="P597" s="17"/>
      <c r="Q597" s="17"/>
      <c r="R597" s="17"/>
    </row>
    <row r="598">
      <c r="A598" s="18"/>
      <c r="B598" s="17"/>
      <c r="C598" s="17"/>
      <c r="D598" s="17"/>
      <c r="E598" s="17"/>
      <c r="F598" s="17"/>
      <c r="G598" s="17"/>
      <c r="M598" s="17"/>
      <c r="N598" s="17"/>
      <c r="O598" s="17"/>
      <c r="P598" s="17"/>
      <c r="Q598" s="17"/>
      <c r="R598" s="17"/>
    </row>
    <row r="599">
      <c r="A599" s="18"/>
      <c r="B599" s="17"/>
      <c r="C599" s="17"/>
      <c r="D599" s="17"/>
      <c r="E599" s="17"/>
      <c r="F599" s="17"/>
      <c r="G599" s="17"/>
      <c r="M599" s="17"/>
      <c r="N599" s="17"/>
      <c r="O599" s="17"/>
      <c r="P599" s="17"/>
      <c r="Q599" s="17"/>
      <c r="R599" s="17"/>
    </row>
    <row r="600">
      <c r="A600" s="18"/>
      <c r="B600" s="17"/>
      <c r="C600" s="17"/>
      <c r="D600" s="17"/>
      <c r="E600" s="17"/>
      <c r="F600" s="17"/>
      <c r="G600" s="17"/>
      <c r="M600" s="17"/>
      <c r="N600" s="17"/>
      <c r="O600" s="17"/>
      <c r="P600" s="17"/>
      <c r="Q600" s="17"/>
      <c r="R600" s="17"/>
    </row>
    <row r="601">
      <c r="A601" s="18"/>
      <c r="B601" s="17"/>
      <c r="C601" s="17"/>
      <c r="D601" s="17"/>
      <c r="E601" s="17"/>
      <c r="F601" s="17"/>
      <c r="G601" s="17"/>
      <c r="M601" s="17"/>
      <c r="N601" s="17"/>
      <c r="O601" s="17"/>
      <c r="P601" s="17"/>
      <c r="Q601" s="17"/>
      <c r="R601" s="17"/>
    </row>
    <row r="602">
      <c r="A602" s="18"/>
      <c r="B602" s="17"/>
      <c r="C602" s="17"/>
      <c r="D602" s="17"/>
      <c r="E602" s="17"/>
      <c r="F602" s="17"/>
      <c r="G602" s="17"/>
      <c r="M602" s="17"/>
      <c r="N602" s="17"/>
      <c r="O602" s="17"/>
      <c r="P602" s="17"/>
      <c r="Q602" s="17"/>
      <c r="R602" s="17"/>
    </row>
    <row r="603">
      <c r="A603" s="18"/>
      <c r="B603" s="17"/>
      <c r="C603" s="17"/>
      <c r="D603" s="17"/>
      <c r="E603" s="17"/>
      <c r="F603" s="17"/>
      <c r="G603" s="17"/>
      <c r="M603" s="17"/>
      <c r="N603" s="17"/>
      <c r="O603" s="17"/>
      <c r="P603" s="17"/>
      <c r="Q603" s="17"/>
      <c r="R603" s="17"/>
    </row>
    <row r="604">
      <c r="A604" s="18"/>
      <c r="B604" s="17"/>
      <c r="C604" s="17"/>
      <c r="D604" s="17"/>
      <c r="E604" s="17"/>
      <c r="F604" s="17"/>
      <c r="G604" s="17"/>
      <c r="M604" s="17"/>
      <c r="N604" s="17"/>
      <c r="O604" s="17"/>
      <c r="P604" s="17"/>
      <c r="Q604" s="17"/>
      <c r="R604" s="17"/>
    </row>
    <row r="605">
      <c r="A605" s="18"/>
      <c r="B605" s="17"/>
      <c r="C605" s="17"/>
      <c r="D605" s="17"/>
      <c r="E605" s="17"/>
      <c r="F605" s="17"/>
      <c r="G605" s="17"/>
      <c r="M605" s="17"/>
      <c r="N605" s="17"/>
      <c r="O605" s="17"/>
      <c r="P605" s="17"/>
      <c r="Q605" s="17"/>
      <c r="R605" s="17"/>
    </row>
    <row r="606">
      <c r="A606" s="18"/>
      <c r="B606" s="17"/>
      <c r="C606" s="17"/>
      <c r="D606" s="17"/>
      <c r="E606" s="17"/>
      <c r="F606" s="17"/>
      <c r="G606" s="17"/>
      <c r="M606" s="17"/>
      <c r="N606" s="17"/>
      <c r="O606" s="17"/>
      <c r="P606" s="17"/>
      <c r="Q606" s="17"/>
      <c r="R606" s="17"/>
    </row>
    <row r="607">
      <c r="A607" s="18"/>
      <c r="B607" s="17"/>
      <c r="C607" s="17"/>
      <c r="D607" s="17"/>
      <c r="E607" s="17"/>
      <c r="F607" s="17"/>
      <c r="G607" s="17"/>
      <c r="M607" s="17"/>
      <c r="N607" s="17"/>
      <c r="O607" s="17"/>
      <c r="P607" s="17"/>
      <c r="Q607" s="17"/>
      <c r="R607" s="17"/>
    </row>
    <row r="608">
      <c r="A608" s="18"/>
      <c r="B608" s="17"/>
      <c r="C608" s="17"/>
      <c r="D608" s="17"/>
      <c r="E608" s="17"/>
      <c r="F608" s="17"/>
      <c r="G608" s="17"/>
      <c r="M608" s="17"/>
      <c r="N608" s="17"/>
      <c r="O608" s="17"/>
      <c r="P608" s="17"/>
      <c r="Q608" s="17"/>
      <c r="R608" s="17"/>
    </row>
    <row r="609">
      <c r="A609" s="18"/>
      <c r="B609" s="17"/>
      <c r="C609" s="17"/>
      <c r="D609" s="17"/>
      <c r="E609" s="17"/>
      <c r="F609" s="17"/>
      <c r="G609" s="17"/>
      <c r="M609" s="17"/>
      <c r="N609" s="17"/>
      <c r="O609" s="17"/>
      <c r="P609" s="17"/>
      <c r="Q609" s="17"/>
      <c r="R609" s="17"/>
    </row>
    <row r="610">
      <c r="A610" s="18"/>
      <c r="B610" s="17"/>
      <c r="C610" s="17"/>
      <c r="D610" s="17"/>
      <c r="E610" s="17"/>
      <c r="F610" s="17"/>
      <c r="G610" s="17"/>
      <c r="M610" s="17"/>
      <c r="N610" s="17"/>
      <c r="O610" s="17"/>
      <c r="P610" s="17"/>
      <c r="Q610" s="17"/>
      <c r="R610" s="17"/>
    </row>
    <row r="611">
      <c r="A611" s="18"/>
      <c r="B611" s="17"/>
      <c r="C611" s="17"/>
      <c r="D611" s="17"/>
      <c r="E611" s="17"/>
      <c r="F611" s="17"/>
      <c r="G611" s="17"/>
      <c r="M611" s="17"/>
      <c r="N611" s="17"/>
      <c r="O611" s="17"/>
      <c r="P611" s="17"/>
      <c r="Q611" s="17"/>
      <c r="R611" s="17"/>
    </row>
    <row r="612">
      <c r="A612" s="18"/>
      <c r="B612" s="17"/>
      <c r="C612" s="17"/>
      <c r="D612" s="17"/>
      <c r="E612" s="17"/>
      <c r="F612" s="17"/>
      <c r="G612" s="17"/>
      <c r="M612" s="17"/>
      <c r="N612" s="17"/>
      <c r="O612" s="17"/>
      <c r="P612" s="17"/>
      <c r="Q612" s="17"/>
      <c r="R612" s="17"/>
    </row>
    <row r="613">
      <c r="A613" s="18"/>
      <c r="B613" s="17"/>
      <c r="C613" s="17"/>
      <c r="D613" s="17"/>
      <c r="E613" s="17"/>
      <c r="F613" s="17"/>
      <c r="G613" s="17"/>
      <c r="M613" s="17"/>
      <c r="N613" s="17"/>
      <c r="O613" s="17"/>
      <c r="P613" s="17"/>
      <c r="Q613" s="17"/>
      <c r="R613" s="17"/>
    </row>
    <row r="614">
      <c r="A614" s="18"/>
      <c r="B614" s="17"/>
      <c r="C614" s="17"/>
      <c r="D614" s="17"/>
      <c r="E614" s="17"/>
      <c r="F614" s="17"/>
      <c r="G614" s="17"/>
      <c r="M614" s="17"/>
      <c r="N614" s="17"/>
      <c r="O614" s="17"/>
      <c r="P614" s="17"/>
      <c r="Q614" s="17"/>
      <c r="R614" s="17"/>
    </row>
    <row r="615">
      <c r="A615" s="18"/>
      <c r="B615" s="17"/>
      <c r="C615" s="17"/>
      <c r="D615" s="17"/>
      <c r="E615" s="17"/>
      <c r="F615" s="17"/>
      <c r="G615" s="17"/>
      <c r="M615" s="17"/>
      <c r="N615" s="17"/>
      <c r="O615" s="17"/>
      <c r="P615" s="17"/>
      <c r="Q615" s="17"/>
      <c r="R615" s="17"/>
    </row>
    <row r="616">
      <c r="A616" s="18"/>
      <c r="B616" s="17"/>
      <c r="C616" s="17"/>
      <c r="D616" s="17"/>
      <c r="E616" s="17"/>
      <c r="F616" s="17"/>
      <c r="G616" s="17"/>
      <c r="M616" s="17"/>
      <c r="N616" s="17"/>
      <c r="O616" s="17"/>
      <c r="P616" s="17"/>
      <c r="Q616" s="17"/>
      <c r="R616" s="17"/>
    </row>
    <row r="617">
      <c r="A617" s="18"/>
      <c r="B617" s="17"/>
      <c r="C617" s="17"/>
      <c r="D617" s="17"/>
      <c r="E617" s="17"/>
      <c r="F617" s="17"/>
      <c r="G617" s="17"/>
      <c r="M617" s="17"/>
      <c r="N617" s="17"/>
      <c r="O617" s="17"/>
      <c r="P617" s="17"/>
      <c r="Q617" s="17"/>
      <c r="R617" s="17"/>
    </row>
    <row r="618">
      <c r="A618" s="18"/>
      <c r="B618" s="17"/>
      <c r="C618" s="17"/>
      <c r="D618" s="17"/>
      <c r="E618" s="17"/>
      <c r="F618" s="17"/>
      <c r="G618" s="17"/>
      <c r="M618" s="17"/>
      <c r="N618" s="17"/>
      <c r="O618" s="17"/>
      <c r="P618" s="17"/>
      <c r="Q618" s="17"/>
      <c r="R618" s="17"/>
    </row>
    <row r="619">
      <c r="A619" s="18"/>
      <c r="B619" s="17"/>
      <c r="C619" s="17"/>
      <c r="D619" s="17"/>
      <c r="E619" s="17"/>
      <c r="F619" s="17"/>
      <c r="G619" s="17"/>
      <c r="M619" s="17"/>
      <c r="N619" s="17"/>
      <c r="O619" s="17"/>
      <c r="P619" s="17"/>
      <c r="Q619" s="17"/>
      <c r="R619" s="17"/>
    </row>
    <row r="620">
      <c r="A620" s="18"/>
      <c r="B620" s="17"/>
      <c r="C620" s="17"/>
      <c r="D620" s="17"/>
      <c r="E620" s="17"/>
      <c r="F620" s="17"/>
      <c r="G620" s="17"/>
      <c r="M620" s="17"/>
      <c r="N620" s="17"/>
      <c r="O620" s="17"/>
      <c r="P620" s="17"/>
      <c r="Q620" s="17"/>
      <c r="R620" s="17"/>
    </row>
    <row r="621">
      <c r="A621" s="18"/>
      <c r="B621" s="17"/>
      <c r="C621" s="17"/>
      <c r="D621" s="17"/>
      <c r="E621" s="17"/>
      <c r="F621" s="17"/>
      <c r="G621" s="17"/>
      <c r="M621" s="17"/>
      <c r="N621" s="17"/>
      <c r="O621" s="17"/>
      <c r="P621" s="17"/>
      <c r="Q621" s="17"/>
      <c r="R621" s="17"/>
    </row>
    <row r="622">
      <c r="A622" s="18"/>
      <c r="B622" s="17"/>
      <c r="C622" s="17"/>
      <c r="D622" s="17"/>
      <c r="E622" s="17"/>
      <c r="F622" s="17"/>
      <c r="G622" s="17"/>
      <c r="M622" s="17"/>
      <c r="N622" s="17"/>
      <c r="O622" s="17"/>
      <c r="P622" s="17"/>
      <c r="Q622" s="17"/>
      <c r="R622" s="17"/>
    </row>
    <row r="623">
      <c r="A623" s="18"/>
      <c r="B623" s="17"/>
      <c r="C623" s="17"/>
      <c r="D623" s="17"/>
      <c r="E623" s="17"/>
      <c r="F623" s="17"/>
      <c r="G623" s="17"/>
      <c r="M623" s="17"/>
      <c r="N623" s="17"/>
      <c r="O623" s="17"/>
      <c r="P623" s="17"/>
      <c r="Q623" s="17"/>
      <c r="R623" s="17"/>
    </row>
    <row r="624">
      <c r="A624" s="18"/>
      <c r="B624" s="17"/>
      <c r="C624" s="17"/>
      <c r="D624" s="17"/>
      <c r="E624" s="17"/>
      <c r="F624" s="17"/>
      <c r="G624" s="17"/>
      <c r="M624" s="17"/>
      <c r="N624" s="17"/>
      <c r="O624" s="17"/>
      <c r="P624" s="17"/>
      <c r="Q624" s="17"/>
      <c r="R624" s="17"/>
    </row>
    <row r="625">
      <c r="A625" s="18"/>
      <c r="B625" s="17"/>
      <c r="C625" s="17"/>
      <c r="D625" s="17"/>
      <c r="E625" s="17"/>
      <c r="F625" s="17"/>
      <c r="G625" s="17"/>
      <c r="M625" s="17"/>
      <c r="N625" s="17"/>
      <c r="O625" s="17"/>
      <c r="P625" s="17"/>
      <c r="Q625" s="17"/>
      <c r="R625" s="17"/>
    </row>
    <row r="626">
      <c r="A626" s="18"/>
      <c r="B626" s="17"/>
      <c r="C626" s="17"/>
      <c r="D626" s="17"/>
      <c r="E626" s="17"/>
      <c r="F626" s="17"/>
      <c r="G626" s="17"/>
      <c r="M626" s="17"/>
      <c r="N626" s="17"/>
      <c r="O626" s="17"/>
      <c r="P626" s="17"/>
      <c r="Q626" s="17"/>
      <c r="R626" s="17"/>
    </row>
    <row r="627">
      <c r="A627" s="18"/>
      <c r="B627" s="17"/>
      <c r="C627" s="17"/>
      <c r="D627" s="17"/>
      <c r="E627" s="17"/>
      <c r="F627" s="17"/>
      <c r="G627" s="17"/>
      <c r="M627" s="17"/>
      <c r="N627" s="17"/>
      <c r="O627" s="17"/>
      <c r="P627" s="17"/>
      <c r="Q627" s="17"/>
      <c r="R627" s="17"/>
    </row>
    <row r="628">
      <c r="A628" s="18"/>
      <c r="B628" s="17"/>
      <c r="C628" s="17"/>
      <c r="D628" s="17"/>
      <c r="E628" s="17"/>
      <c r="F628" s="17"/>
      <c r="G628" s="17"/>
      <c r="M628" s="17"/>
      <c r="N628" s="17"/>
      <c r="O628" s="17"/>
      <c r="P628" s="17"/>
      <c r="Q628" s="17"/>
      <c r="R628" s="17"/>
    </row>
    <row r="629">
      <c r="A629" s="18"/>
      <c r="B629" s="17"/>
      <c r="C629" s="17"/>
      <c r="D629" s="17"/>
      <c r="E629" s="17"/>
      <c r="F629" s="17"/>
      <c r="G629" s="17"/>
      <c r="M629" s="17"/>
      <c r="N629" s="17"/>
      <c r="O629" s="17"/>
      <c r="P629" s="17"/>
      <c r="Q629" s="17"/>
      <c r="R629" s="17"/>
    </row>
    <row r="630">
      <c r="A630" s="18"/>
      <c r="B630" s="17"/>
      <c r="C630" s="17"/>
      <c r="D630" s="17"/>
      <c r="E630" s="17"/>
      <c r="F630" s="17"/>
      <c r="G630" s="17"/>
      <c r="M630" s="17"/>
      <c r="N630" s="17"/>
      <c r="O630" s="17"/>
      <c r="P630" s="17"/>
      <c r="Q630" s="17"/>
      <c r="R630" s="17"/>
    </row>
    <row r="631">
      <c r="A631" s="18"/>
      <c r="B631" s="17"/>
      <c r="C631" s="17"/>
      <c r="D631" s="17"/>
      <c r="E631" s="17"/>
      <c r="F631" s="17"/>
      <c r="G631" s="17"/>
      <c r="M631" s="17"/>
      <c r="N631" s="17"/>
      <c r="O631" s="17"/>
      <c r="P631" s="17"/>
      <c r="Q631" s="17"/>
      <c r="R631" s="17"/>
    </row>
    <row r="632">
      <c r="A632" s="18"/>
      <c r="B632" s="17"/>
      <c r="C632" s="17"/>
      <c r="D632" s="17"/>
      <c r="E632" s="17"/>
      <c r="F632" s="17"/>
      <c r="G632" s="17"/>
      <c r="M632" s="17"/>
      <c r="N632" s="17"/>
      <c r="O632" s="17"/>
      <c r="P632" s="17"/>
      <c r="Q632" s="17"/>
      <c r="R632" s="17"/>
    </row>
    <row r="633">
      <c r="A633" s="18"/>
      <c r="B633" s="17"/>
      <c r="C633" s="17"/>
      <c r="D633" s="17"/>
      <c r="E633" s="17"/>
      <c r="F633" s="17"/>
      <c r="G633" s="17"/>
      <c r="M633" s="17"/>
      <c r="N633" s="17"/>
      <c r="O633" s="17"/>
      <c r="P633" s="17"/>
      <c r="Q633" s="17"/>
      <c r="R633" s="17"/>
    </row>
    <row r="634">
      <c r="A634" s="18"/>
      <c r="B634" s="17"/>
      <c r="C634" s="17"/>
      <c r="D634" s="17"/>
      <c r="E634" s="17"/>
      <c r="F634" s="17"/>
      <c r="G634" s="17"/>
      <c r="M634" s="17"/>
      <c r="N634" s="17"/>
      <c r="O634" s="17"/>
      <c r="P634" s="17"/>
      <c r="Q634" s="17"/>
      <c r="R634" s="17"/>
    </row>
    <row r="635">
      <c r="A635" s="18"/>
      <c r="B635" s="17"/>
      <c r="C635" s="17"/>
      <c r="D635" s="17"/>
      <c r="E635" s="17"/>
      <c r="F635" s="17"/>
      <c r="G635" s="17"/>
      <c r="M635" s="17"/>
      <c r="N635" s="17"/>
      <c r="O635" s="17"/>
      <c r="P635" s="17"/>
      <c r="Q635" s="17"/>
      <c r="R635" s="17"/>
    </row>
    <row r="636">
      <c r="A636" s="18"/>
      <c r="B636" s="17"/>
      <c r="C636" s="17"/>
      <c r="D636" s="17"/>
      <c r="E636" s="17"/>
      <c r="F636" s="17"/>
      <c r="G636" s="17"/>
      <c r="M636" s="17"/>
      <c r="N636" s="17"/>
      <c r="O636" s="17"/>
      <c r="P636" s="17"/>
      <c r="Q636" s="17"/>
      <c r="R636" s="17"/>
    </row>
    <row r="637">
      <c r="A637" s="18"/>
      <c r="B637" s="17"/>
      <c r="C637" s="17"/>
      <c r="D637" s="17"/>
      <c r="E637" s="17"/>
      <c r="F637" s="17"/>
      <c r="G637" s="17"/>
      <c r="M637" s="17"/>
      <c r="N637" s="17"/>
      <c r="O637" s="17"/>
      <c r="P637" s="17"/>
      <c r="Q637" s="17"/>
      <c r="R637" s="17"/>
    </row>
    <row r="638">
      <c r="A638" s="18"/>
      <c r="B638" s="17"/>
      <c r="C638" s="17"/>
      <c r="D638" s="17"/>
      <c r="E638" s="17"/>
      <c r="F638" s="17"/>
      <c r="G638" s="17"/>
      <c r="M638" s="17"/>
      <c r="N638" s="17"/>
      <c r="O638" s="17"/>
      <c r="P638" s="17"/>
      <c r="Q638" s="17"/>
      <c r="R638" s="17"/>
    </row>
    <row r="639">
      <c r="A639" s="18"/>
      <c r="B639" s="17"/>
      <c r="C639" s="17"/>
      <c r="D639" s="17"/>
      <c r="E639" s="17"/>
      <c r="F639" s="17"/>
      <c r="G639" s="17"/>
      <c r="M639" s="17"/>
      <c r="N639" s="17"/>
      <c r="O639" s="17"/>
      <c r="P639" s="17"/>
      <c r="Q639" s="17"/>
      <c r="R639" s="17"/>
    </row>
    <row r="640">
      <c r="A640" s="18"/>
      <c r="B640" s="17"/>
      <c r="C640" s="17"/>
      <c r="D640" s="17"/>
      <c r="E640" s="17"/>
      <c r="F640" s="17"/>
      <c r="G640" s="17"/>
      <c r="M640" s="17"/>
      <c r="N640" s="17"/>
      <c r="O640" s="17"/>
      <c r="P640" s="17"/>
      <c r="Q640" s="17"/>
      <c r="R640" s="17"/>
    </row>
    <row r="641">
      <c r="A641" s="18"/>
      <c r="B641" s="17"/>
      <c r="C641" s="17"/>
      <c r="D641" s="17"/>
      <c r="E641" s="17"/>
      <c r="F641" s="17"/>
      <c r="G641" s="17"/>
      <c r="M641" s="17"/>
      <c r="N641" s="17"/>
      <c r="O641" s="17"/>
      <c r="P641" s="17"/>
      <c r="Q641" s="17"/>
      <c r="R641" s="17"/>
    </row>
    <row r="642">
      <c r="A642" s="18"/>
      <c r="B642" s="17"/>
      <c r="C642" s="17"/>
      <c r="D642" s="17"/>
      <c r="E642" s="17"/>
      <c r="F642" s="17"/>
      <c r="G642" s="17"/>
      <c r="M642" s="17"/>
      <c r="N642" s="17"/>
      <c r="O642" s="17"/>
      <c r="P642" s="17"/>
      <c r="Q642" s="17"/>
      <c r="R642" s="17"/>
    </row>
    <row r="643">
      <c r="A643" s="18"/>
      <c r="B643" s="17"/>
      <c r="C643" s="17"/>
      <c r="D643" s="17"/>
      <c r="E643" s="17"/>
      <c r="F643" s="17"/>
      <c r="G643" s="17"/>
      <c r="M643" s="17"/>
      <c r="N643" s="17"/>
      <c r="O643" s="17"/>
      <c r="P643" s="17"/>
      <c r="Q643" s="17"/>
      <c r="R643" s="17"/>
    </row>
    <row r="644">
      <c r="A644" s="18"/>
      <c r="B644" s="17"/>
      <c r="C644" s="17"/>
      <c r="D644" s="17"/>
      <c r="E644" s="17"/>
      <c r="F644" s="17"/>
      <c r="G644" s="17"/>
      <c r="M644" s="17"/>
      <c r="N644" s="17"/>
      <c r="O644" s="17"/>
      <c r="P644" s="17"/>
      <c r="Q644" s="17"/>
      <c r="R644" s="17"/>
    </row>
    <row r="645">
      <c r="A645" s="18"/>
      <c r="B645" s="17"/>
      <c r="C645" s="17"/>
      <c r="D645" s="17"/>
      <c r="E645" s="17"/>
      <c r="F645" s="17"/>
      <c r="G645" s="17"/>
      <c r="M645" s="17"/>
      <c r="N645" s="17"/>
      <c r="O645" s="17"/>
      <c r="P645" s="17"/>
      <c r="Q645" s="17"/>
      <c r="R645" s="17"/>
    </row>
    <row r="646">
      <c r="A646" s="18"/>
      <c r="B646" s="17"/>
      <c r="C646" s="17"/>
      <c r="D646" s="17"/>
      <c r="E646" s="17"/>
      <c r="F646" s="17"/>
      <c r="G646" s="17"/>
      <c r="M646" s="17"/>
      <c r="N646" s="17"/>
      <c r="O646" s="17"/>
      <c r="P646" s="17"/>
      <c r="Q646" s="17"/>
      <c r="R646" s="17"/>
    </row>
    <row r="647">
      <c r="A647" s="18"/>
      <c r="B647" s="17"/>
      <c r="C647" s="17"/>
      <c r="D647" s="17"/>
      <c r="E647" s="17"/>
      <c r="F647" s="17"/>
      <c r="G647" s="17"/>
      <c r="M647" s="17"/>
      <c r="N647" s="17"/>
      <c r="O647" s="17"/>
      <c r="P647" s="17"/>
      <c r="Q647" s="17"/>
      <c r="R647" s="17"/>
    </row>
    <row r="648">
      <c r="A648" s="18"/>
      <c r="B648" s="17"/>
      <c r="C648" s="17"/>
      <c r="D648" s="17"/>
      <c r="E648" s="17"/>
      <c r="F648" s="17"/>
      <c r="G648" s="17"/>
      <c r="M648" s="17"/>
      <c r="N648" s="17"/>
      <c r="O648" s="17"/>
      <c r="P648" s="17"/>
      <c r="Q648" s="17"/>
      <c r="R648" s="17"/>
    </row>
    <row r="649">
      <c r="A649" s="18"/>
      <c r="B649" s="17"/>
      <c r="C649" s="17"/>
      <c r="D649" s="17"/>
      <c r="E649" s="17"/>
      <c r="F649" s="17"/>
      <c r="G649" s="17"/>
      <c r="M649" s="17"/>
      <c r="N649" s="17"/>
      <c r="O649" s="17"/>
      <c r="P649" s="17"/>
      <c r="Q649" s="17"/>
      <c r="R649" s="17"/>
    </row>
    <row r="650">
      <c r="A650" s="18"/>
      <c r="B650" s="17"/>
      <c r="C650" s="17"/>
      <c r="D650" s="17"/>
      <c r="E650" s="17"/>
      <c r="F650" s="17"/>
      <c r="G650" s="17"/>
      <c r="M650" s="17"/>
      <c r="N650" s="17"/>
      <c r="O650" s="17"/>
      <c r="P650" s="17"/>
      <c r="Q650" s="17"/>
      <c r="R650" s="17"/>
    </row>
    <row r="651">
      <c r="A651" s="18"/>
      <c r="B651" s="17"/>
      <c r="C651" s="17"/>
      <c r="D651" s="17"/>
      <c r="E651" s="17"/>
      <c r="F651" s="17"/>
      <c r="G651" s="17"/>
      <c r="M651" s="17"/>
      <c r="N651" s="17"/>
      <c r="O651" s="17"/>
      <c r="P651" s="17"/>
      <c r="Q651" s="17"/>
      <c r="R651" s="17"/>
    </row>
    <row r="652">
      <c r="A652" s="18"/>
      <c r="B652" s="17"/>
      <c r="C652" s="17"/>
      <c r="D652" s="17"/>
      <c r="E652" s="17"/>
      <c r="F652" s="17"/>
      <c r="G652" s="17"/>
      <c r="M652" s="17"/>
      <c r="N652" s="17"/>
      <c r="O652" s="17"/>
      <c r="P652" s="17"/>
      <c r="Q652" s="17"/>
      <c r="R652" s="17"/>
    </row>
    <row r="653">
      <c r="A653" s="18"/>
      <c r="B653" s="17"/>
      <c r="C653" s="17"/>
      <c r="D653" s="17"/>
      <c r="E653" s="17"/>
      <c r="F653" s="17"/>
      <c r="G653" s="17"/>
      <c r="M653" s="17"/>
      <c r="N653" s="17"/>
      <c r="O653" s="17"/>
      <c r="P653" s="17"/>
      <c r="Q653" s="17"/>
      <c r="R653" s="17"/>
    </row>
    <row r="654">
      <c r="A654" s="18"/>
      <c r="B654" s="17"/>
      <c r="C654" s="17"/>
      <c r="D654" s="17"/>
      <c r="E654" s="17"/>
      <c r="F654" s="17"/>
      <c r="G654" s="17"/>
      <c r="M654" s="17"/>
      <c r="N654" s="17"/>
      <c r="O654" s="17"/>
      <c r="P654" s="17"/>
      <c r="Q654" s="17"/>
      <c r="R654" s="17"/>
    </row>
    <row r="655">
      <c r="A655" s="18"/>
      <c r="B655" s="17"/>
      <c r="C655" s="17"/>
      <c r="D655" s="17"/>
      <c r="E655" s="17"/>
      <c r="F655" s="17"/>
      <c r="G655" s="17"/>
      <c r="M655" s="17"/>
      <c r="N655" s="17"/>
      <c r="O655" s="17"/>
      <c r="P655" s="17"/>
      <c r="Q655" s="17"/>
      <c r="R655" s="17"/>
    </row>
    <row r="656">
      <c r="A656" s="18"/>
      <c r="B656" s="17"/>
      <c r="C656" s="17"/>
      <c r="D656" s="17"/>
      <c r="E656" s="17"/>
      <c r="F656" s="17"/>
      <c r="G656" s="17"/>
      <c r="M656" s="17"/>
      <c r="N656" s="17"/>
      <c r="O656" s="17"/>
      <c r="P656" s="17"/>
      <c r="Q656" s="17"/>
      <c r="R656" s="17"/>
    </row>
    <row r="657">
      <c r="A657" s="18"/>
      <c r="B657" s="17"/>
      <c r="C657" s="17"/>
      <c r="D657" s="17"/>
      <c r="E657" s="17"/>
      <c r="F657" s="17"/>
      <c r="G657" s="17"/>
      <c r="M657" s="17"/>
      <c r="N657" s="17"/>
      <c r="O657" s="17"/>
      <c r="P657" s="17"/>
      <c r="Q657" s="17"/>
      <c r="R657" s="17"/>
    </row>
    <row r="658">
      <c r="A658" s="18"/>
      <c r="B658" s="17"/>
      <c r="C658" s="17"/>
      <c r="D658" s="17"/>
      <c r="E658" s="17"/>
      <c r="F658" s="17"/>
      <c r="G658" s="17"/>
      <c r="M658" s="17"/>
      <c r="N658" s="17"/>
      <c r="O658" s="17"/>
      <c r="P658" s="17"/>
      <c r="Q658" s="17"/>
      <c r="R658" s="17"/>
    </row>
    <row r="659">
      <c r="A659" s="18"/>
      <c r="B659" s="17"/>
      <c r="C659" s="17"/>
      <c r="D659" s="17"/>
      <c r="E659" s="17"/>
      <c r="F659" s="17"/>
      <c r="G659" s="17"/>
      <c r="M659" s="17"/>
      <c r="N659" s="17"/>
      <c r="O659" s="17"/>
      <c r="P659" s="17"/>
      <c r="Q659" s="17"/>
      <c r="R659" s="17"/>
    </row>
    <row r="660">
      <c r="A660" s="18"/>
      <c r="B660" s="17"/>
      <c r="C660" s="17"/>
      <c r="D660" s="17"/>
      <c r="E660" s="17"/>
      <c r="F660" s="17"/>
      <c r="G660" s="17"/>
      <c r="M660" s="17"/>
      <c r="N660" s="17"/>
      <c r="O660" s="17"/>
      <c r="P660" s="17"/>
      <c r="Q660" s="17"/>
      <c r="R660" s="17"/>
    </row>
    <row r="661">
      <c r="A661" s="18"/>
      <c r="B661" s="17"/>
      <c r="C661" s="17"/>
      <c r="D661" s="17"/>
      <c r="E661" s="17"/>
      <c r="F661" s="17"/>
      <c r="G661" s="17"/>
      <c r="M661" s="17"/>
      <c r="N661" s="17"/>
      <c r="O661" s="17"/>
      <c r="P661" s="17"/>
      <c r="Q661" s="17"/>
      <c r="R661" s="17"/>
    </row>
    <row r="662">
      <c r="A662" s="18"/>
      <c r="B662" s="17"/>
      <c r="C662" s="17"/>
      <c r="D662" s="17"/>
      <c r="E662" s="17"/>
      <c r="F662" s="17"/>
      <c r="G662" s="17"/>
      <c r="M662" s="17"/>
      <c r="N662" s="17"/>
      <c r="O662" s="17"/>
      <c r="P662" s="17"/>
      <c r="Q662" s="17"/>
      <c r="R662" s="17"/>
    </row>
    <row r="663">
      <c r="A663" s="18"/>
      <c r="B663" s="17"/>
      <c r="C663" s="17"/>
      <c r="D663" s="17"/>
      <c r="E663" s="17"/>
      <c r="F663" s="17"/>
      <c r="G663" s="17"/>
      <c r="M663" s="17"/>
      <c r="N663" s="17"/>
      <c r="O663" s="17"/>
      <c r="P663" s="17"/>
      <c r="Q663" s="17"/>
      <c r="R663" s="17"/>
    </row>
    <row r="664">
      <c r="A664" s="18"/>
      <c r="B664" s="17"/>
      <c r="C664" s="17"/>
      <c r="D664" s="17"/>
      <c r="E664" s="17"/>
      <c r="F664" s="17"/>
      <c r="G664" s="17"/>
      <c r="M664" s="17"/>
      <c r="N664" s="17"/>
      <c r="O664" s="17"/>
      <c r="P664" s="17"/>
      <c r="Q664" s="17"/>
      <c r="R664" s="17"/>
    </row>
    <row r="665">
      <c r="A665" s="18"/>
      <c r="B665" s="17"/>
      <c r="C665" s="17"/>
      <c r="D665" s="17"/>
      <c r="E665" s="17"/>
      <c r="F665" s="17"/>
      <c r="G665" s="17"/>
      <c r="M665" s="17"/>
      <c r="N665" s="17"/>
      <c r="O665" s="17"/>
      <c r="P665" s="17"/>
      <c r="Q665" s="17"/>
      <c r="R665" s="17"/>
    </row>
    <row r="666">
      <c r="A666" s="18"/>
      <c r="B666" s="17"/>
      <c r="C666" s="17"/>
      <c r="D666" s="17"/>
      <c r="E666" s="17"/>
      <c r="F666" s="17"/>
      <c r="G666" s="17"/>
      <c r="M666" s="17"/>
      <c r="N666" s="17"/>
      <c r="O666" s="17"/>
      <c r="P666" s="17"/>
      <c r="Q666" s="17"/>
      <c r="R666" s="17"/>
    </row>
    <row r="667">
      <c r="A667" s="18"/>
      <c r="B667" s="17"/>
      <c r="C667" s="17"/>
      <c r="D667" s="17"/>
      <c r="E667" s="17"/>
      <c r="F667" s="17"/>
      <c r="G667" s="17"/>
      <c r="M667" s="17"/>
      <c r="N667" s="17"/>
      <c r="O667" s="17"/>
      <c r="P667" s="17"/>
      <c r="Q667" s="17"/>
      <c r="R667" s="17"/>
    </row>
    <row r="668">
      <c r="A668" s="18"/>
      <c r="B668" s="17"/>
      <c r="C668" s="17"/>
      <c r="D668" s="17"/>
      <c r="E668" s="17"/>
      <c r="F668" s="17"/>
      <c r="G668" s="17"/>
      <c r="M668" s="17"/>
      <c r="N668" s="17"/>
      <c r="O668" s="17"/>
      <c r="P668" s="17"/>
      <c r="Q668" s="17"/>
      <c r="R668" s="17"/>
    </row>
    <row r="669">
      <c r="A669" s="18"/>
      <c r="B669" s="17"/>
      <c r="C669" s="17"/>
      <c r="D669" s="17"/>
      <c r="E669" s="17"/>
      <c r="F669" s="17"/>
      <c r="G669" s="17"/>
      <c r="M669" s="17"/>
      <c r="N669" s="17"/>
      <c r="O669" s="17"/>
      <c r="P669" s="17"/>
      <c r="Q669" s="17"/>
      <c r="R669" s="17"/>
    </row>
    <row r="670">
      <c r="A670" s="18"/>
      <c r="B670" s="17"/>
      <c r="C670" s="17"/>
      <c r="D670" s="17"/>
      <c r="E670" s="17"/>
      <c r="F670" s="17"/>
      <c r="G670" s="17"/>
      <c r="M670" s="17"/>
      <c r="N670" s="17"/>
      <c r="O670" s="17"/>
      <c r="P670" s="17"/>
      <c r="Q670" s="17"/>
      <c r="R670" s="17"/>
    </row>
    <row r="671">
      <c r="A671" s="18"/>
      <c r="B671" s="17"/>
      <c r="C671" s="17"/>
      <c r="D671" s="17"/>
      <c r="E671" s="17"/>
      <c r="F671" s="17"/>
      <c r="G671" s="17"/>
      <c r="M671" s="17"/>
      <c r="N671" s="17"/>
      <c r="O671" s="17"/>
      <c r="P671" s="17"/>
      <c r="Q671" s="17"/>
      <c r="R671" s="17"/>
    </row>
    <row r="672">
      <c r="A672" s="18"/>
      <c r="B672" s="17"/>
      <c r="C672" s="17"/>
      <c r="D672" s="17"/>
      <c r="E672" s="17"/>
      <c r="F672" s="17"/>
      <c r="G672" s="17"/>
      <c r="M672" s="17"/>
      <c r="N672" s="17"/>
      <c r="O672" s="17"/>
      <c r="P672" s="17"/>
      <c r="Q672" s="17"/>
      <c r="R672" s="17"/>
    </row>
    <row r="673">
      <c r="A673" s="18"/>
      <c r="B673" s="17"/>
      <c r="C673" s="17"/>
      <c r="D673" s="17"/>
      <c r="E673" s="17"/>
      <c r="F673" s="17"/>
      <c r="G673" s="17"/>
      <c r="M673" s="17"/>
      <c r="N673" s="17"/>
      <c r="O673" s="17"/>
      <c r="P673" s="17"/>
      <c r="Q673" s="17"/>
      <c r="R673" s="17"/>
    </row>
    <row r="674">
      <c r="A674" s="18"/>
      <c r="B674" s="17"/>
      <c r="C674" s="17"/>
      <c r="D674" s="17"/>
      <c r="E674" s="17"/>
      <c r="F674" s="17"/>
      <c r="G674" s="17"/>
      <c r="M674" s="17"/>
      <c r="N674" s="17"/>
      <c r="O674" s="17"/>
      <c r="P674" s="17"/>
      <c r="Q674" s="17"/>
      <c r="R674" s="17"/>
    </row>
    <row r="675">
      <c r="A675" s="18"/>
      <c r="B675" s="17"/>
      <c r="C675" s="17"/>
      <c r="D675" s="17"/>
      <c r="E675" s="17"/>
      <c r="F675" s="17"/>
      <c r="G675" s="17"/>
      <c r="M675" s="17"/>
      <c r="N675" s="17"/>
      <c r="O675" s="17"/>
      <c r="P675" s="17"/>
      <c r="Q675" s="17"/>
      <c r="R675" s="17"/>
    </row>
    <row r="676">
      <c r="A676" s="18"/>
      <c r="B676" s="17"/>
      <c r="C676" s="17"/>
      <c r="D676" s="17"/>
      <c r="E676" s="17"/>
      <c r="F676" s="17"/>
      <c r="G676" s="17"/>
      <c r="M676" s="17"/>
      <c r="N676" s="17"/>
      <c r="O676" s="17"/>
      <c r="P676" s="17"/>
      <c r="Q676" s="17"/>
      <c r="R676" s="17"/>
    </row>
    <row r="677">
      <c r="A677" s="18"/>
      <c r="B677" s="17"/>
      <c r="C677" s="17"/>
      <c r="D677" s="17"/>
      <c r="E677" s="17"/>
      <c r="F677" s="17"/>
      <c r="G677" s="17"/>
      <c r="M677" s="17"/>
      <c r="N677" s="17"/>
      <c r="O677" s="17"/>
      <c r="P677" s="17"/>
      <c r="Q677" s="17"/>
      <c r="R677" s="17"/>
    </row>
    <row r="678">
      <c r="A678" s="18"/>
      <c r="B678" s="17"/>
      <c r="C678" s="17"/>
      <c r="D678" s="17"/>
      <c r="E678" s="17"/>
      <c r="F678" s="17"/>
      <c r="G678" s="17"/>
      <c r="M678" s="17"/>
      <c r="N678" s="17"/>
      <c r="O678" s="17"/>
      <c r="P678" s="17"/>
      <c r="Q678" s="17"/>
      <c r="R678" s="17"/>
    </row>
    <row r="679">
      <c r="A679" s="18"/>
      <c r="B679" s="17"/>
      <c r="C679" s="17"/>
      <c r="D679" s="17"/>
      <c r="E679" s="17"/>
      <c r="F679" s="17"/>
      <c r="G679" s="17"/>
      <c r="M679" s="17"/>
      <c r="N679" s="17"/>
      <c r="O679" s="17"/>
      <c r="P679" s="17"/>
      <c r="Q679" s="17"/>
      <c r="R679" s="17"/>
    </row>
    <row r="680">
      <c r="A680" s="18"/>
      <c r="B680" s="17"/>
      <c r="C680" s="17"/>
      <c r="D680" s="17"/>
      <c r="E680" s="17"/>
      <c r="F680" s="17"/>
      <c r="G680" s="17"/>
      <c r="M680" s="17"/>
      <c r="N680" s="17"/>
      <c r="O680" s="17"/>
      <c r="P680" s="17"/>
      <c r="Q680" s="17"/>
      <c r="R680" s="17"/>
    </row>
    <row r="681">
      <c r="A681" s="18"/>
      <c r="B681" s="17"/>
      <c r="C681" s="17"/>
      <c r="D681" s="17"/>
      <c r="E681" s="17"/>
      <c r="F681" s="17"/>
      <c r="G681" s="17"/>
      <c r="M681" s="17"/>
      <c r="N681" s="17"/>
      <c r="O681" s="17"/>
      <c r="P681" s="17"/>
      <c r="Q681" s="17"/>
      <c r="R681" s="17"/>
    </row>
    <row r="682">
      <c r="A682" s="18"/>
      <c r="B682" s="17"/>
      <c r="C682" s="17"/>
      <c r="D682" s="17"/>
      <c r="E682" s="17"/>
      <c r="F682" s="17"/>
      <c r="G682" s="17"/>
      <c r="M682" s="17"/>
      <c r="N682" s="17"/>
      <c r="O682" s="17"/>
      <c r="P682" s="17"/>
      <c r="Q682" s="17"/>
      <c r="R682" s="17"/>
    </row>
    <row r="683">
      <c r="A683" s="18"/>
      <c r="B683" s="17"/>
      <c r="C683" s="17"/>
      <c r="D683" s="17"/>
      <c r="E683" s="17"/>
      <c r="F683" s="17"/>
      <c r="G683" s="17"/>
      <c r="M683" s="17"/>
      <c r="N683" s="17"/>
      <c r="O683" s="17"/>
      <c r="P683" s="17"/>
      <c r="Q683" s="17"/>
      <c r="R683" s="17"/>
    </row>
    <row r="684">
      <c r="A684" s="18"/>
      <c r="B684" s="17"/>
      <c r="C684" s="17"/>
      <c r="D684" s="17"/>
      <c r="E684" s="17"/>
      <c r="F684" s="17"/>
      <c r="G684" s="17"/>
      <c r="M684" s="17"/>
      <c r="N684" s="17"/>
      <c r="O684" s="17"/>
      <c r="P684" s="17"/>
      <c r="Q684" s="17"/>
      <c r="R684" s="17"/>
    </row>
    <row r="685">
      <c r="A685" s="18"/>
      <c r="B685" s="17"/>
      <c r="C685" s="17"/>
      <c r="D685" s="17"/>
      <c r="E685" s="17"/>
      <c r="F685" s="17"/>
      <c r="G685" s="17"/>
      <c r="M685" s="17"/>
      <c r="N685" s="17"/>
      <c r="O685" s="17"/>
      <c r="P685" s="17"/>
      <c r="Q685" s="17"/>
      <c r="R685" s="17"/>
    </row>
    <row r="686">
      <c r="A686" s="18"/>
      <c r="B686" s="17"/>
      <c r="C686" s="17"/>
      <c r="D686" s="17"/>
      <c r="E686" s="17"/>
      <c r="F686" s="17"/>
      <c r="G686" s="17"/>
      <c r="M686" s="17"/>
      <c r="N686" s="17"/>
      <c r="O686" s="17"/>
      <c r="P686" s="17"/>
      <c r="Q686" s="17"/>
      <c r="R686" s="17"/>
    </row>
    <row r="687">
      <c r="A687" s="18"/>
      <c r="B687" s="17"/>
      <c r="C687" s="17"/>
      <c r="D687" s="17"/>
      <c r="E687" s="17"/>
      <c r="F687" s="17"/>
      <c r="G687" s="17"/>
      <c r="M687" s="17"/>
      <c r="N687" s="17"/>
      <c r="O687" s="17"/>
      <c r="P687" s="17"/>
      <c r="Q687" s="17"/>
      <c r="R687" s="17"/>
    </row>
    <row r="688">
      <c r="A688" s="18"/>
      <c r="B688" s="17"/>
      <c r="C688" s="17"/>
      <c r="D688" s="17"/>
      <c r="E688" s="17"/>
      <c r="F688" s="17"/>
      <c r="G688" s="17"/>
      <c r="M688" s="17"/>
      <c r="N688" s="17"/>
      <c r="O688" s="17"/>
      <c r="P688" s="17"/>
      <c r="Q688" s="17"/>
      <c r="R688" s="17"/>
    </row>
    <row r="689">
      <c r="A689" s="18"/>
      <c r="B689" s="17"/>
      <c r="C689" s="17"/>
      <c r="D689" s="17"/>
      <c r="E689" s="17"/>
      <c r="F689" s="17"/>
      <c r="G689" s="17"/>
      <c r="M689" s="17"/>
      <c r="N689" s="17"/>
      <c r="O689" s="17"/>
      <c r="P689" s="17"/>
      <c r="Q689" s="17"/>
      <c r="R689" s="17"/>
    </row>
    <row r="690">
      <c r="A690" s="18"/>
      <c r="B690" s="17"/>
      <c r="C690" s="17"/>
      <c r="D690" s="17"/>
      <c r="E690" s="17"/>
      <c r="F690" s="17"/>
      <c r="G690" s="17"/>
      <c r="M690" s="17"/>
      <c r="N690" s="17"/>
      <c r="O690" s="17"/>
      <c r="P690" s="17"/>
      <c r="Q690" s="17"/>
      <c r="R690" s="17"/>
    </row>
    <row r="691">
      <c r="A691" s="18"/>
      <c r="B691" s="17"/>
      <c r="C691" s="17"/>
      <c r="D691" s="17"/>
      <c r="E691" s="17"/>
      <c r="F691" s="17"/>
      <c r="G691" s="17"/>
      <c r="M691" s="17"/>
      <c r="N691" s="17"/>
      <c r="O691" s="17"/>
      <c r="P691" s="17"/>
      <c r="Q691" s="17"/>
      <c r="R691" s="17"/>
    </row>
    <row r="692">
      <c r="A692" s="18"/>
      <c r="B692" s="17"/>
      <c r="C692" s="17"/>
      <c r="D692" s="17"/>
      <c r="E692" s="17"/>
      <c r="F692" s="17"/>
      <c r="G692" s="17"/>
      <c r="M692" s="17"/>
      <c r="N692" s="17"/>
      <c r="O692" s="17"/>
      <c r="P692" s="17"/>
      <c r="Q692" s="17"/>
      <c r="R692" s="17"/>
    </row>
    <row r="693">
      <c r="A693" s="18"/>
      <c r="B693" s="17"/>
      <c r="C693" s="17"/>
      <c r="D693" s="17"/>
      <c r="E693" s="17"/>
      <c r="F693" s="17"/>
      <c r="G693" s="17"/>
      <c r="M693" s="17"/>
      <c r="N693" s="17"/>
      <c r="O693" s="17"/>
      <c r="P693" s="17"/>
      <c r="Q693" s="17"/>
      <c r="R693" s="17"/>
    </row>
    <row r="694">
      <c r="A694" s="18"/>
      <c r="B694" s="17"/>
      <c r="C694" s="17"/>
      <c r="D694" s="17"/>
      <c r="E694" s="17"/>
      <c r="F694" s="17"/>
      <c r="G694" s="17"/>
      <c r="M694" s="17"/>
      <c r="N694" s="17"/>
      <c r="O694" s="17"/>
      <c r="P694" s="17"/>
      <c r="Q694" s="17"/>
      <c r="R694" s="17"/>
    </row>
    <row r="695">
      <c r="A695" s="18"/>
      <c r="B695" s="17"/>
      <c r="C695" s="17"/>
      <c r="D695" s="17"/>
      <c r="E695" s="17"/>
      <c r="F695" s="17"/>
      <c r="G695" s="17"/>
      <c r="M695" s="17"/>
      <c r="N695" s="17"/>
      <c r="O695" s="17"/>
      <c r="P695" s="17"/>
      <c r="Q695" s="17"/>
      <c r="R695" s="17"/>
    </row>
    <row r="696">
      <c r="A696" s="18"/>
      <c r="B696" s="17"/>
      <c r="C696" s="17"/>
      <c r="D696" s="17"/>
      <c r="E696" s="17"/>
      <c r="F696" s="17"/>
      <c r="G696" s="17"/>
      <c r="M696" s="17"/>
      <c r="N696" s="17"/>
      <c r="O696" s="17"/>
      <c r="P696" s="17"/>
      <c r="Q696" s="17"/>
      <c r="R696" s="17"/>
    </row>
    <row r="697">
      <c r="A697" s="18"/>
      <c r="B697" s="17"/>
      <c r="C697" s="17"/>
      <c r="D697" s="17"/>
      <c r="E697" s="17"/>
      <c r="F697" s="17"/>
      <c r="G697" s="17"/>
      <c r="M697" s="17"/>
      <c r="N697" s="17"/>
      <c r="O697" s="17"/>
      <c r="P697" s="17"/>
      <c r="Q697" s="17"/>
      <c r="R697" s="17"/>
    </row>
    <row r="698">
      <c r="A698" s="18"/>
      <c r="B698" s="17"/>
      <c r="C698" s="17"/>
      <c r="D698" s="17"/>
      <c r="E698" s="17"/>
      <c r="F698" s="17"/>
      <c r="G698" s="17"/>
      <c r="M698" s="17"/>
      <c r="N698" s="17"/>
      <c r="O698" s="17"/>
      <c r="P698" s="17"/>
      <c r="Q698" s="17"/>
      <c r="R698" s="17"/>
    </row>
    <row r="699">
      <c r="A699" s="18"/>
      <c r="B699" s="17"/>
      <c r="C699" s="17"/>
      <c r="D699" s="17"/>
      <c r="E699" s="17"/>
      <c r="F699" s="17"/>
      <c r="G699" s="17"/>
      <c r="M699" s="17"/>
      <c r="N699" s="17"/>
      <c r="O699" s="17"/>
      <c r="P699" s="17"/>
      <c r="Q699" s="17"/>
      <c r="R699" s="17"/>
    </row>
    <row r="700">
      <c r="A700" s="18"/>
      <c r="B700" s="17"/>
      <c r="C700" s="17"/>
      <c r="D700" s="17"/>
      <c r="E700" s="17"/>
      <c r="F700" s="17"/>
      <c r="G700" s="17"/>
      <c r="M700" s="17"/>
      <c r="N700" s="17"/>
      <c r="O700" s="17"/>
      <c r="P700" s="17"/>
      <c r="Q700" s="17"/>
      <c r="R700" s="17"/>
    </row>
    <row r="701">
      <c r="A701" s="18"/>
      <c r="B701" s="17"/>
      <c r="C701" s="17"/>
      <c r="D701" s="17"/>
      <c r="E701" s="17"/>
      <c r="F701" s="17"/>
      <c r="G701" s="17"/>
      <c r="M701" s="17"/>
      <c r="N701" s="17"/>
      <c r="O701" s="17"/>
      <c r="P701" s="17"/>
      <c r="Q701" s="17"/>
      <c r="R701" s="17"/>
    </row>
    <row r="702">
      <c r="A702" s="18"/>
      <c r="B702" s="17"/>
      <c r="C702" s="17"/>
      <c r="D702" s="17"/>
      <c r="E702" s="17"/>
      <c r="F702" s="17"/>
      <c r="G702" s="17"/>
      <c r="M702" s="17"/>
      <c r="N702" s="17"/>
      <c r="O702" s="17"/>
      <c r="P702" s="17"/>
      <c r="Q702" s="17"/>
      <c r="R702" s="17"/>
    </row>
    <row r="703">
      <c r="A703" s="18"/>
      <c r="B703" s="17"/>
      <c r="C703" s="17"/>
      <c r="D703" s="17"/>
      <c r="E703" s="17"/>
      <c r="F703" s="17"/>
      <c r="G703" s="17"/>
      <c r="M703" s="17"/>
      <c r="N703" s="17"/>
      <c r="O703" s="17"/>
      <c r="P703" s="17"/>
      <c r="Q703" s="17"/>
      <c r="R703" s="17"/>
    </row>
    <row r="704">
      <c r="A704" s="18"/>
      <c r="B704" s="17"/>
      <c r="C704" s="17"/>
      <c r="D704" s="17"/>
      <c r="E704" s="17"/>
      <c r="F704" s="17"/>
      <c r="G704" s="17"/>
      <c r="M704" s="17"/>
      <c r="N704" s="17"/>
      <c r="O704" s="17"/>
      <c r="P704" s="17"/>
      <c r="Q704" s="17"/>
      <c r="R704" s="17"/>
    </row>
    <row r="705">
      <c r="A705" s="18"/>
      <c r="B705" s="17"/>
      <c r="C705" s="17"/>
      <c r="D705" s="17"/>
      <c r="E705" s="17"/>
      <c r="F705" s="17"/>
      <c r="G705" s="17"/>
      <c r="M705" s="17"/>
      <c r="N705" s="17"/>
      <c r="O705" s="17"/>
      <c r="P705" s="17"/>
      <c r="Q705" s="17"/>
      <c r="R705" s="17"/>
    </row>
    <row r="706">
      <c r="A706" s="18"/>
      <c r="B706" s="17"/>
      <c r="C706" s="17"/>
      <c r="D706" s="17"/>
      <c r="E706" s="17"/>
      <c r="F706" s="17"/>
      <c r="G706" s="17"/>
      <c r="M706" s="17"/>
      <c r="N706" s="17"/>
      <c r="O706" s="17"/>
      <c r="P706" s="17"/>
      <c r="Q706" s="17"/>
      <c r="R706" s="17"/>
    </row>
    <row r="707">
      <c r="A707" s="18"/>
      <c r="B707" s="17"/>
      <c r="C707" s="17"/>
      <c r="D707" s="17"/>
      <c r="E707" s="17"/>
      <c r="F707" s="17"/>
      <c r="G707" s="17"/>
      <c r="M707" s="17"/>
      <c r="N707" s="17"/>
      <c r="O707" s="17"/>
      <c r="P707" s="17"/>
      <c r="Q707" s="17"/>
      <c r="R707" s="17"/>
    </row>
    <row r="708">
      <c r="A708" s="18"/>
      <c r="B708" s="17"/>
      <c r="C708" s="17"/>
      <c r="D708" s="17"/>
      <c r="E708" s="17"/>
      <c r="F708" s="17"/>
      <c r="G708" s="17"/>
      <c r="M708" s="17"/>
      <c r="N708" s="17"/>
      <c r="O708" s="17"/>
      <c r="P708" s="17"/>
      <c r="Q708" s="17"/>
      <c r="R708" s="17"/>
    </row>
    <row r="709">
      <c r="A709" s="18"/>
      <c r="B709" s="17"/>
      <c r="C709" s="17"/>
      <c r="D709" s="17"/>
      <c r="E709" s="17"/>
      <c r="F709" s="17"/>
      <c r="G709" s="17"/>
      <c r="M709" s="17"/>
      <c r="N709" s="17"/>
      <c r="O709" s="17"/>
      <c r="P709" s="17"/>
      <c r="Q709" s="17"/>
      <c r="R709" s="17"/>
    </row>
    <row r="710">
      <c r="A710" s="18"/>
      <c r="B710" s="17"/>
      <c r="C710" s="17"/>
      <c r="D710" s="17"/>
      <c r="E710" s="17"/>
      <c r="F710" s="17"/>
      <c r="G710" s="17"/>
      <c r="M710" s="17"/>
      <c r="N710" s="17"/>
      <c r="O710" s="17"/>
      <c r="P710" s="17"/>
      <c r="Q710" s="17"/>
      <c r="R710" s="17"/>
    </row>
    <row r="711">
      <c r="A711" s="18"/>
      <c r="B711" s="17"/>
      <c r="C711" s="17"/>
      <c r="D711" s="17"/>
      <c r="E711" s="17"/>
      <c r="F711" s="17"/>
      <c r="G711" s="17"/>
      <c r="M711" s="17"/>
      <c r="N711" s="17"/>
      <c r="O711" s="17"/>
      <c r="P711" s="17"/>
      <c r="Q711" s="17"/>
      <c r="R711" s="17"/>
    </row>
    <row r="712">
      <c r="A712" s="18"/>
      <c r="B712" s="17"/>
      <c r="C712" s="17"/>
      <c r="D712" s="17"/>
      <c r="E712" s="17"/>
      <c r="F712" s="17"/>
      <c r="G712" s="17"/>
      <c r="M712" s="17"/>
      <c r="N712" s="17"/>
      <c r="O712" s="17"/>
      <c r="P712" s="17"/>
      <c r="Q712" s="17"/>
      <c r="R712" s="17"/>
    </row>
    <row r="713">
      <c r="A713" s="18"/>
      <c r="B713" s="17"/>
      <c r="C713" s="17"/>
      <c r="D713" s="17"/>
      <c r="E713" s="17"/>
      <c r="F713" s="17"/>
      <c r="G713" s="17"/>
      <c r="M713" s="17"/>
      <c r="N713" s="17"/>
      <c r="O713" s="17"/>
      <c r="P713" s="17"/>
      <c r="Q713" s="17"/>
      <c r="R713" s="17"/>
    </row>
    <row r="714">
      <c r="A714" s="18"/>
      <c r="B714" s="17"/>
      <c r="C714" s="17"/>
      <c r="D714" s="17"/>
      <c r="E714" s="17"/>
      <c r="F714" s="17"/>
      <c r="G714" s="17"/>
      <c r="M714" s="17"/>
      <c r="N714" s="17"/>
      <c r="O714" s="17"/>
      <c r="P714" s="17"/>
      <c r="Q714" s="17"/>
      <c r="R714" s="17"/>
    </row>
    <row r="715">
      <c r="A715" s="18"/>
      <c r="B715" s="17"/>
      <c r="C715" s="17"/>
      <c r="D715" s="17"/>
      <c r="E715" s="17"/>
      <c r="F715" s="17"/>
      <c r="G715" s="17"/>
      <c r="M715" s="17"/>
      <c r="N715" s="17"/>
      <c r="O715" s="17"/>
      <c r="P715" s="17"/>
      <c r="Q715" s="17"/>
      <c r="R715" s="17"/>
    </row>
    <row r="716">
      <c r="A716" s="18"/>
      <c r="B716" s="17"/>
      <c r="C716" s="17"/>
      <c r="D716" s="17"/>
      <c r="E716" s="17"/>
      <c r="F716" s="17"/>
      <c r="G716" s="17"/>
      <c r="M716" s="17"/>
      <c r="N716" s="17"/>
      <c r="O716" s="17"/>
      <c r="P716" s="17"/>
      <c r="Q716" s="17"/>
      <c r="R716" s="17"/>
    </row>
    <row r="717">
      <c r="A717" s="18"/>
      <c r="B717" s="17"/>
      <c r="C717" s="17"/>
      <c r="D717" s="17"/>
      <c r="E717" s="17"/>
      <c r="F717" s="17"/>
      <c r="G717" s="17"/>
      <c r="M717" s="17"/>
      <c r="N717" s="17"/>
      <c r="O717" s="17"/>
      <c r="P717" s="17"/>
      <c r="Q717" s="17"/>
      <c r="R717" s="17"/>
    </row>
    <row r="718">
      <c r="A718" s="18"/>
      <c r="B718" s="17"/>
      <c r="C718" s="17"/>
      <c r="D718" s="17"/>
      <c r="E718" s="17"/>
      <c r="F718" s="17"/>
      <c r="G718" s="17"/>
      <c r="M718" s="17"/>
      <c r="N718" s="17"/>
      <c r="O718" s="17"/>
      <c r="P718" s="17"/>
      <c r="Q718" s="17"/>
      <c r="R718" s="17"/>
    </row>
    <row r="719">
      <c r="A719" s="18"/>
      <c r="B719" s="17"/>
      <c r="C719" s="17"/>
      <c r="D719" s="17"/>
      <c r="E719" s="17"/>
      <c r="F719" s="17"/>
      <c r="G719" s="17"/>
      <c r="M719" s="17"/>
      <c r="N719" s="17"/>
      <c r="O719" s="17"/>
      <c r="P719" s="17"/>
      <c r="Q719" s="17"/>
      <c r="R719" s="17"/>
    </row>
    <row r="720">
      <c r="A720" s="18"/>
      <c r="B720" s="17"/>
      <c r="C720" s="17"/>
      <c r="D720" s="17"/>
      <c r="E720" s="17"/>
      <c r="F720" s="17"/>
      <c r="G720" s="17"/>
      <c r="M720" s="17"/>
      <c r="N720" s="17"/>
      <c r="O720" s="17"/>
      <c r="P720" s="17"/>
      <c r="Q720" s="17"/>
      <c r="R720" s="17"/>
    </row>
    <row r="721">
      <c r="A721" s="18"/>
      <c r="B721" s="17"/>
      <c r="C721" s="17"/>
      <c r="D721" s="17"/>
      <c r="E721" s="17"/>
      <c r="F721" s="17"/>
      <c r="G721" s="17"/>
      <c r="M721" s="17"/>
      <c r="N721" s="17"/>
      <c r="O721" s="17"/>
      <c r="P721" s="17"/>
      <c r="Q721" s="17"/>
      <c r="R721" s="17"/>
    </row>
    <row r="722">
      <c r="A722" s="18"/>
      <c r="B722" s="17"/>
      <c r="C722" s="17"/>
      <c r="D722" s="17"/>
      <c r="E722" s="17"/>
      <c r="F722" s="17"/>
      <c r="G722" s="17"/>
      <c r="M722" s="17"/>
      <c r="N722" s="17"/>
      <c r="O722" s="17"/>
      <c r="P722" s="17"/>
      <c r="Q722" s="17"/>
      <c r="R722" s="17"/>
    </row>
    <row r="723">
      <c r="A723" s="18"/>
      <c r="B723" s="17"/>
      <c r="C723" s="17"/>
      <c r="D723" s="17"/>
      <c r="E723" s="17"/>
      <c r="F723" s="17"/>
      <c r="G723" s="17"/>
      <c r="M723" s="17"/>
      <c r="N723" s="17"/>
      <c r="O723" s="17"/>
      <c r="P723" s="17"/>
      <c r="Q723" s="17"/>
      <c r="R723" s="17"/>
    </row>
    <row r="724">
      <c r="A724" s="18"/>
      <c r="B724" s="17"/>
      <c r="C724" s="17"/>
      <c r="D724" s="17"/>
      <c r="E724" s="17"/>
      <c r="F724" s="17"/>
      <c r="G724" s="17"/>
      <c r="M724" s="17"/>
      <c r="N724" s="17"/>
      <c r="O724" s="17"/>
      <c r="P724" s="17"/>
      <c r="Q724" s="17"/>
      <c r="R724" s="17"/>
    </row>
    <row r="725">
      <c r="A725" s="18"/>
      <c r="B725" s="17"/>
      <c r="C725" s="17"/>
      <c r="D725" s="17"/>
      <c r="E725" s="17"/>
      <c r="F725" s="17"/>
      <c r="G725" s="17"/>
      <c r="M725" s="17"/>
      <c r="N725" s="17"/>
      <c r="O725" s="17"/>
      <c r="P725" s="17"/>
      <c r="Q725" s="17"/>
      <c r="R725" s="17"/>
    </row>
    <row r="726">
      <c r="A726" s="18"/>
      <c r="B726" s="17"/>
      <c r="C726" s="17"/>
      <c r="D726" s="17"/>
      <c r="E726" s="17"/>
      <c r="F726" s="17"/>
      <c r="G726" s="17"/>
      <c r="M726" s="17"/>
      <c r="N726" s="17"/>
      <c r="O726" s="17"/>
      <c r="P726" s="17"/>
      <c r="Q726" s="17"/>
      <c r="R726" s="17"/>
    </row>
    <row r="727">
      <c r="A727" s="18"/>
      <c r="B727" s="17"/>
      <c r="C727" s="17"/>
      <c r="D727" s="17"/>
      <c r="E727" s="17"/>
      <c r="F727" s="17"/>
      <c r="G727" s="17"/>
      <c r="M727" s="17"/>
      <c r="N727" s="17"/>
      <c r="O727" s="17"/>
      <c r="P727" s="17"/>
      <c r="Q727" s="17"/>
      <c r="R727" s="17"/>
    </row>
    <row r="728">
      <c r="A728" s="18"/>
      <c r="B728" s="17"/>
      <c r="C728" s="17"/>
      <c r="D728" s="17"/>
      <c r="E728" s="17"/>
      <c r="F728" s="17"/>
      <c r="G728" s="17"/>
      <c r="M728" s="17"/>
      <c r="N728" s="17"/>
      <c r="O728" s="17"/>
      <c r="P728" s="17"/>
      <c r="Q728" s="17"/>
      <c r="R728" s="17"/>
    </row>
    <row r="729">
      <c r="A729" s="18"/>
      <c r="B729" s="17"/>
      <c r="C729" s="17"/>
      <c r="D729" s="17"/>
      <c r="E729" s="17"/>
      <c r="F729" s="17"/>
      <c r="G729" s="17"/>
      <c r="M729" s="17"/>
      <c r="N729" s="17"/>
      <c r="O729" s="17"/>
      <c r="P729" s="17"/>
      <c r="Q729" s="17"/>
      <c r="R729" s="17"/>
    </row>
    <row r="730">
      <c r="A730" s="18"/>
      <c r="B730" s="17"/>
      <c r="C730" s="17"/>
      <c r="D730" s="17"/>
      <c r="E730" s="17"/>
      <c r="F730" s="17"/>
      <c r="G730" s="17"/>
      <c r="M730" s="17"/>
      <c r="N730" s="17"/>
      <c r="O730" s="17"/>
      <c r="P730" s="17"/>
      <c r="Q730" s="17"/>
      <c r="R730" s="17"/>
    </row>
    <row r="731">
      <c r="A731" s="18"/>
      <c r="B731" s="17"/>
      <c r="C731" s="17"/>
      <c r="D731" s="17"/>
      <c r="E731" s="17"/>
      <c r="F731" s="17"/>
      <c r="G731" s="17"/>
      <c r="M731" s="17"/>
      <c r="N731" s="17"/>
      <c r="O731" s="17"/>
      <c r="P731" s="17"/>
      <c r="Q731" s="17"/>
      <c r="R731" s="17"/>
    </row>
    <row r="732">
      <c r="A732" s="18"/>
      <c r="B732" s="17"/>
      <c r="C732" s="17"/>
      <c r="D732" s="17"/>
      <c r="E732" s="17"/>
      <c r="F732" s="17"/>
      <c r="G732" s="17"/>
      <c r="M732" s="17"/>
      <c r="N732" s="17"/>
      <c r="O732" s="17"/>
      <c r="P732" s="17"/>
      <c r="Q732" s="17"/>
      <c r="R732" s="17"/>
    </row>
    <row r="733">
      <c r="A733" s="18"/>
      <c r="B733" s="17"/>
      <c r="C733" s="17"/>
      <c r="D733" s="17"/>
      <c r="E733" s="17"/>
      <c r="F733" s="17"/>
      <c r="G733" s="17"/>
      <c r="M733" s="17"/>
      <c r="N733" s="17"/>
      <c r="O733" s="17"/>
      <c r="P733" s="17"/>
      <c r="Q733" s="17"/>
      <c r="R733" s="17"/>
    </row>
    <row r="734">
      <c r="A734" s="18"/>
      <c r="B734" s="17"/>
      <c r="C734" s="17"/>
      <c r="D734" s="17"/>
      <c r="E734" s="17"/>
      <c r="F734" s="17"/>
      <c r="G734" s="17"/>
      <c r="M734" s="17"/>
      <c r="N734" s="17"/>
      <c r="O734" s="17"/>
      <c r="P734" s="17"/>
      <c r="Q734" s="17"/>
      <c r="R734" s="17"/>
    </row>
    <row r="735">
      <c r="A735" s="18"/>
      <c r="B735" s="17"/>
      <c r="C735" s="17"/>
      <c r="D735" s="17"/>
      <c r="E735" s="17"/>
      <c r="F735" s="17"/>
      <c r="G735" s="17"/>
      <c r="M735" s="17"/>
      <c r="N735" s="17"/>
      <c r="O735" s="17"/>
      <c r="P735" s="17"/>
      <c r="Q735" s="17"/>
      <c r="R735" s="17"/>
    </row>
    <row r="736">
      <c r="A736" s="18"/>
      <c r="B736" s="17"/>
      <c r="C736" s="17"/>
      <c r="D736" s="17"/>
      <c r="E736" s="17"/>
      <c r="F736" s="17"/>
      <c r="G736" s="17"/>
      <c r="M736" s="17"/>
      <c r="N736" s="17"/>
      <c r="O736" s="17"/>
      <c r="P736" s="17"/>
      <c r="Q736" s="17"/>
      <c r="R736" s="17"/>
    </row>
    <row r="737">
      <c r="A737" s="18"/>
      <c r="B737" s="17"/>
      <c r="C737" s="17"/>
      <c r="D737" s="17"/>
      <c r="E737" s="17"/>
      <c r="F737" s="17"/>
      <c r="G737" s="17"/>
      <c r="M737" s="17"/>
      <c r="N737" s="17"/>
      <c r="O737" s="17"/>
      <c r="P737" s="17"/>
      <c r="Q737" s="17"/>
      <c r="R737" s="17"/>
    </row>
    <row r="738">
      <c r="A738" s="18"/>
      <c r="B738" s="17"/>
      <c r="C738" s="17"/>
      <c r="D738" s="17"/>
      <c r="E738" s="17"/>
      <c r="F738" s="17"/>
      <c r="G738" s="17"/>
      <c r="M738" s="17"/>
      <c r="N738" s="17"/>
      <c r="O738" s="17"/>
      <c r="P738" s="17"/>
      <c r="Q738" s="17"/>
      <c r="R738" s="17"/>
    </row>
    <row r="739">
      <c r="A739" s="18"/>
      <c r="B739" s="17"/>
      <c r="C739" s="17"/>
      <c r="D739" s="17"/>
      <c r="E739" s="17"/>
      <c r="F739" s="17"/>
      <c r="G739" s="17"/>
      <c r="M739" s="17"/>
      <c r="N739" s="17"/>
      <c r="O739" s="17"/>
      <c r="P739" s="17"/>
      <c r="Q739" s="17"/>
      <c r="R739" s="17"/>
    </row>
    <row r="740">
      <c r="A740" s="18"/>
      <c r="B740" s="17"/>
      <c r="C740" s="17"/>
      <c r="D740" s="17"/>
      <c r="E740" s="17"/>
      <c r="F740" s="17"/>
      <c r="G740" s="17"/>
      <c r="M740" s="17"/>
      <c r="N740" s="17"/>
      <c r="O740" s="17"/>
      <c r="P740" s="17"/>
      <c r="Q740" s="17"/>
      <c r="R740" s="17"/>
    </row>
    <row r="741">
      <c r="A741" s="18"/>
      <c r="B741" s="17"/>
      <c r="C741" s="17"/>
      <c r="D741" s="17"/>
      <c r="E741" s="17"/>
      <c r="F741" s="17"/>
      <c r="G741" s="17"/>
      <c r="M741" s="17"/>
      <c r="N741" s="17"/>
      <c r="O741" s="17"/>
      <c r="P741" s="17"/>
      <c r="Q741" s="17"/>
      <c r="R741" s="17"/>
    </row>
    <row r="742">
      <c r="A742" s="18"/>
      <c r="B742" s="17"/>
      <c r="C742" s="17"/>
      <c r="D742" s="17"/>
      <c r="E742" s="17"/>
      <c r="F742" s="17"/>
      <c r="G742" s="17"/>
      <c r="M742" s="17"/>
      <c r="N742" s="17"/>
      <c r="O742" s="17"/>
      <c r="P742" s="17"/>
      <c r="Q742" s="17"/>
      <c r="R742" s="17"/>
    </row>
    <row r="743">
      <c r="A743" s="18"/>
      <c r="B743" s="17"/>
      <c r="C743" s="17"/>
      <c r="D743" s="17"/>
      <c r="E743" s="17"/>
      <c r="F743" s="17"/>
      <c r="G743" s="17"/>
      <c r="M743" s="17"/>
      <c r="N743" s="17"/>
      <c r="O743" s="17"/>
      <c r="P743" s="17"/>
      <c r="Q743" s="17"/>
      <c r="R743" s="17"/>
    </row>
    <row r="744">
      <c r="A744" s="18"/>
      <c r="B744" s="17"/>
      <c r="C744" s="17"/>
      <c r="D744" s="17"/>
      <c r="E744" s="17"/>
      <c r="F744" s="17"/>
      <c r="G744" s="17"/>
      <c r="M744" s="17"/>
      <c r="N744" s="17"/>
      <c r="O744" s="17"/>
      <c r="P744" s="17"/>
      <c r="Q744" s="17"/>
      <c r="R744" s="17"/>
    </row>
    <row r="745">
      <c r="A745" s="18"/>
      <c r="B745" s="17"/>
      <c r="C745" s="17"/>
      <c r="D745" s="17"/>
      <c r="E745" s="17"/>
      <c r="F745" s="17"/>
      <c r="G745" s="17"/>
      <c r="M745" s="17"/>
      <c r="N745" s="17"/>
      <c r="O745" s="17"/>
      <c r="P745" s="17"/>
      <c r="Q745" s="17"/>
      <c r="R745" s="17"/>
    </row>
    <row r="746">
      <c r="A746" s="18"/>
      <c r="B746" s="17"/>
      <c r="C746" s="17"/>
      <c r="D746" s="17"/>
      <c r="E746" s="17"/>
      <c r="F746" s="17"/>
      <c r="G746" s="17"/>
      <c r="M746" s="17"/>
      <c r="N746" s="17"/>
      <c r="O746" s="17"/>
      <c r="P746" s="17"/>
      <c r="Q746" s="17"/>
      <c r="R746" s="17"/>
    </row>
    <row r="747">
      <c r="A747" s="18"/>
      <c r="B747" s="17"/>
      <c r="C747" s="17"/>
      <c r="D747" s="17"/>
      <c r="E747" s="17"/>
      <c r="F747" s="17"/>
      <c r="G747" s="17"/>
      <c r="M747" s="17"/>
      <c r="N747" s="17"/>
      <c r="O747" s="17"/>
      <c r="P747" s="17"/>
      <c r="Q747" s="17"/>
      <c r="R747" s="17"/>
    </row>
    <row r="748">
      <c r="A748" s="18"/>
      <c r="B748" s="17"/>
      <c r="C748" s="17"/>
      <c r="D748" s="17"/>
      <c r="E748" s="17"/>
      <c r="F748" s="17"/>
      <c r="G748" s="17"/>
      <c r="M748" s="17"/>
      <c r="N748" s="17"/>
      <c r="O748" s="17"/>
      <c r="P748" s="17"/>
      <c r="Q748" s="17"/>
      <c r="R748" s="17"/>
    </row>
    <row r="749">
      <c r="A749" s="18"/>
      <c r="B749" s="17"/>
      <c r="C749" s="17"/>
      <c r="D749" s="17"/>
      <c r="E749" s="17"/>
      <c r="F749" s="17"/>
      <c r="G749" s="17"/>
      <c r="M749" s="17"/>
      <c r="N749" s="17"/>
      <c r="O749" s="17"/>
      <c r="P749" s="17"/>
      <c r="Q749" s="17"/>
      <c r="R749" s="17"/>
    </row>
    <row r="750">
      <c r="A750" s="18"/>
      <c r="B750" s="17"/>
      <c r="C750" s="17"/>
      <c r="D750" s="17"/>
      <c r="E750" s="17"/>
      <c r="F750" s="17"/>
      <c r="G750" s="17"/>
      <c r="M750" s="17"/>
      <c r="N750" s="17"/>
      <c r="O750" s="17"/>
      <c r="P750" s="17"/>
      <c r="Q750" s="17"/>
      <c r="R750" s="17"/>
    </row>
    <row r="751">
      <c r="A751" s="18"/>
      <c r="B751" s="17"/>
      <c r="C751" s="17"/>
      <c r="D751" s="17"/>
      <c r="E751" s="17"/>
      <c r="F751" s="17"/>
      <c r="G751" s="17"/>
      <c r="M751" s="17"/>
      <c r="N751" s="17"/>
      <c r="O751" s="17"/>
      <c r="P751" s="17"/>
      <c r="Q751" s="17"/>
      <c r="R751" s="17"/>
    </row>
    <row r="752">
      <c r="A752" s="18"/>
      <c r="B752" s="17"/>
      <c r="C752" s="17"/>
      <c r="D752" s="17"/>
      <c r="E752" s="17"/>
      <c r="F752" s="17"/>
      <c r="G752" s="17"/>
      <c r="M752" s="17"/>
      <c r="N752" s="17"/>
      <c r="O752" s="17"/>
      <c r="P752" s="17"/>
      <c r="Q752" s="17"/>
      <c r="R752" s="17"/>
    </row>
    <row r="753">
      <c r="A753" s="18"/>
      <c r="B753" s="17"/>
      <c r="C753" s="17"/>
      <c r="D753" s="17"/>
      <c r="E753" s="17"/>
      <c r="F753" s="17"/>
      <c r="G753" s="17"/>
      <c r="M753" s="17"/>
      <c r="N753" s="17"/>
      <c r="O753" s="17"/>
      <c r="P753" s="17"/>
      <c r="Q753" s="17"/>
      <c r="R753" s="17"/>
    </row>
    <row r="754">
      <c r="A754" s="18"/>
      <c r="B754" s="17"/>
      <c r="C754" s="17"/>
      <c r="D754" s="17"/>
      <c r="E754" s="17"/>
      <c r="F754" s="17"/>
      <c r="G754" s="17"/>
      <c r="M754" s="17"/>
      <c r="N754" s="17"/>
      <c r="O754" s="17"/>
      <c r="P754" s="17"/>
      <c r="Q754" s="17"/>
      <c r="R754" s="17"/>
    </row>
    <row r="755">
      <c r="A755" s="18"/>
      <c r="B755" s="17"/>
      <c r="C755" s="17"/>
      <c r="D755" s="17"/>
      <c r="E755" s="17"/>
      <c r="F755" s="17"/>
      <c r="G755" s="17"/>
      <c r="M755" s="17"/>
      <c r="N755" s="17"/>
      <c r="O755" s="17"/>
      <c r="P755" s="17"/>
      <c r="Q755" s="17"/>
      <c r="R755" s="17"/>
    </row>
    <row r="756">
      <c r="A756" s="18"/>
      <c r="B756" s="17"/>
      <c r="C756" s="17"/>
      <c r="D756" s="17"/>
      <c r="E756" s="17"/>
      <c r="F756" s="17"/>
      <c r="G756" s="17"/>
      <c r="M756" s="17"/>
      <c r="N756" s="17"/>
      <c r="O756" s="17"/>
      <c r="P756" s="17"/>
      <c r="Q756" s="17"/>
      <c r="R756" s="17"/>
    </row>
    <row r="757">
      <c r="A757" s="18"/>
      <c r="B757" s="17"/>
      <c r="C757" s="17"/>
      <c r="D757" s="17"/>
      <c r="E757" s="17"/>
      <c r="F757" s="17"/>
      <c r="G757" s="17"/>
      <c r="M757" s="17"/>
      <c r="N757" s="17"/>
      <c r="O757" s="17"/>
      <c r="P757" s="17"/>
      <c r="Q757" s="17"/>
      <c r="R757" s="17"/>
    </row>
    <row r="758">
      <c r="A758" s="18"/>
      <c r="B758" s="17"/>
      <c r="C758" s="17"/>
      <c r="D758" s="17"/>
      <c r="E758" s="17"/>
      <c r="F758" s="17"/>
      <c r="G758" s="17"/>
      <c r="M758" s="17"/>
      <c r="N758" s="17"/>
      <c r="O758" s="17"/>
      <c r="P758" s="17"/>
      <c r="Q758" s="17"/>
      <c r="R758" s="17"/>
    </row>
    <row r="759">
      <c r="A759" s="18"/>
      <c r="B759" s="17"/>
      <c r="C759" s="17"/>
      <c r="D759" s="17"/>
      <c r="E759" s="17"/>
      <c r="F759" s="17"/>
      <c r="G759" s="17"/>
      <c r="M759" s="17"/>
      <c r="N759" s="17"/>
      <c r="O759" s="17"/>
      <c r="P759" s="17"/>
      <c r="Q759" s="17"/>
      <c r="R759" s="17"/>
    </row>
    <row r="760">
      <c r="A760" s="18"/>
      <c r="B760" s="17"/>
      <c r="C760" s="17"/>
      <c r="D760" s="17"/>
      <c r="E760" s="17"/>
      <c r="F760" s="17"/>
      <c r="G760" s="17"/>
      <c r="M760" s="17"/>
      <c r="N760" s="17"/>
      <c r="O760" s="17"/>
      <c r="P760" s="17"/>
      <c r="Q760" s="17"/>
      <c r="R760" s="17"/>
    </row>
    <row r="761">
      <c r="A761" s="18"/>
      <c r="B761" s="17"/>
      <c r="C761" s="17"/>
      <c r="D761" s="17"/>
      <c r="E761" s="17"/>
      <c r="F761" s="17"/>
      <c r="G761" s="17"/>
      <c r="M761" s="17"/>
      <c r="N761" s="17"/>
      <c r="O761" s="17"/>
      <c r="P761" s="17"/>
      <c r="Q761" s="17"/>
      <c r="R761" s="17"/>
    </row>
    <row r="762">
      <c r="A762" s="18"/>
      <c r="B762" s="17"/>
      <c r="C762" s="17"/>
      <c r="D762" s="17"/>
      <c r="E762" s="17"/>
      <c r="F762" s="17"/>
      <c r="G762" s="17"/>
      <c r="M762" s="17"/>
      <c r="N762" s="17"/>
      <c r="O762" s="17"/>
      <c r="P762" s="17"/>
      <c r="Q762" s="17"/>
      <c r="R762" s="17"/>
    </row>
    <row r="763">
      <c r="A763" s="18"/>
      <c r="B763" s="17"/>
      <c r="C763" s="17"/>
      <c r="D763" s="17"/>
      <c r="E763" s="17"/>
      <c r="F763" s="17"/>
      <c r="G763" s="17"/>
      <c r="M763" s="17"/>
      <c r="N763" s="17"/>
      <c r="O763" s="17"/>
      <c r="P763" s="17"/>
      <c r="Q763" s="17"/>
      <c r="R763" s="17"/>
    </row>
    <row r="764">
      <c r="A764" s="18"/>
      <c r="B764" s="17"/>
      <c r="C764" s="17"/>
      <c r="D764" s="17"/>
      <c r="E764" s="17"/>
      <c r="F764" s="17"/>
      <c r="G764" s="17"/>
      <c r="M764" s="17"/>
      <c r="N764" s="17"/>
      <c r="O764" s="17"/>
      <c r="P764" s="17"/>
      <c r="Q764" s="17"/>
      <c r="R764" s="17"/>
    </row>
    <row r="765">
      <c r="A765" s="18"/>
      <c r="B765" s="17"/>
      <c r="C765" s="17"/>
      <c r="D765" s="17"/>
      <c r="E765" s="17"/>
      <c r="F765" s="17"/>
      <c r="G765" s="17"/>
      <c r="M765" s="17"/>
      <c r="N765" s="17"/>
      <c r="O765" s="17"/>
      <c r="P765" s="17"/>
      <c r="Q765" s="17"/>
      <c r="R765" s="17"/>
    </row>
    <row r="766">
      <c r="A766" s="18"/>
      <c r="B766" s="17"/>
      <c r="C766" s="17"/>
      <c r="D766" s="17"/>
      <c r="E766" s="17"/>
      <c r="F766" s="17"/>
      <c r="G766" s="17"/>
      <c r="M766" s="17"/>
      <c r="N766" s="17"/>
      <c r="O766" s="17"/>
      <c r="P766" s="17"/>
      <c r="Q766" s="17"/>
      <c r="R766" s="17"/>
    </row>
    <row r="767">
      <c r="A767" s="18"/>
      <c r="B767" s="17"/>
      <c r="C767" s="17"/>
      <c r="D767" s="17"/>
      <c r="E767" s="17"/>
      <c r="F767" s="17"/>
      <c r="G767" s="17"/>
      <c r="M767" s="17"/>
      <c r="N767" s="17"/>
      <c r="O767" s="17"/>
      <c r="P767" s="17"/>
      <c r="Q767" s="17"/>
      <c r="R767" s="17"/>
    </row>
    <row r="768">
      <c r="A768" s="18"/>
      <c r="B768" s="17"/>
      <c r="C768" s="17"/>
      <c r="D768" s="17"/>
      <c r="E768" s="17"/>
      <c r="F768" s="17"/>
      <c r="G768" s="17"/>
      <c r="M768" s="17"/>
      <c r="N768" s="17"/>
      <c r="O768" s="17"/>
      <c r="P768" s="17"/>
      <c r="Q768" s="17"/>
      <c r="R768" s="17"/>
    </row>
    <row r="769">
      <c r="A769" s="18"/>
      <c r="B769" s="17"/>
      <c r="C769" s="17"/>
      <c r="D769" s="17"/>
      <c r="E769" s="17"/>
      <c r="F769" s="17"/>
      <c r="G769" s="17"/>
      <c r="M769" s="17"/>
      <c r="N769" s="17"/>
      <c r="O769" s="17"/>
      <c r="P769" s="17"/>
      <c r="Q769" s="17"/>
      <c r="R769" s="17"/>
    </row>
    <row r="770">
      <c r="A770" s="18"/>
      <c r="B770" s="17"/>
      <c r="C770" s="17"/>
      <c r="D770" s="17"/>
      <c r="E770" s="17"/>
      <c r="F770" s="17"/>
      <c r="G770" s="17"/>
      <c r="M770" s="17"/>
      <c r="N770" s="17"/>
      <c r="O770" s="17"/>
      <c r="P770" s="17"/>
      <c r="Q770" s="17"/>
      <c r="R770" s="17"/>
    </row>
    <row r="771">
      <c r="A771" s="18"/>
      <c r="B771" s="17"/>
      <c r="C771" s="17"/>
      <c r="D771" s="17"/>
      <c r="E771" s="17"/>
      <c r="F771" s="17"/>
      <c r="G771" s="17"/>
      <c r="M771" s="17"/>
      <c r="N771" s="17"/>
      <c r="O771" s="17"/>
      <c r="P771" s="17"/>
      <c r="Q771" s="17"/>
      <c r="R771" s="17"/>
    </row>
    <row r="772">
      <c r="A772" s="18"/>
      <c r="B772" s="17"/>
      <c r="C772" s="17"/>
      <c r="D772" s="17"/>
      <c r="E772" s="17"/>
      <c r="F772" s="17"/>
      <c r="G772" s="17"/>
      <c r="M772" s="17"/>
      <c r="N772" s="17"/>
      <c r="O772" s="17"/>
      <c r="P772" s="17"/>
      <c r="Q772" s="17"/>
      <c r="R772" s="17"/>
    </row>
    <row r="773">
      <c r="A773" s="18"/>
      <c r="B773" s="17"/>
      <c r="C773" s="17"/>
      <c r="D773" s="17"/>
      <c r="E773" s="17"/>
      <c r="F773" s="17"/>
      <c r="G773" s="17"/>
      <c r="M773" s="17"/>
      <c r="N773" s="17"/>
      <c r="O773" s="17"/>
      <c r="P773" s="17"/>
      <c r="Q773" s="17"/>
      <c r="R773" s="17"/>
    </row>
    <row r="774">
      <c r="A774" s="18"/>
      <c r="B774" s="17"/>
      <c r="C774" s="17"/>
      <c r="D774" s="17"/>
      <c r="E774" s="17"/>
      <c r="F774" s="17"/>
      <c r="G774" s="17"/>
      <c r="M774" s="17"/>
      <c r="N774" s="17"/>
      <c r="O774" s="17"/>
      <c r="P774" s="17"/>
      <c r="Q774" s="17"/>
      <c r="R774" s="17"/>
    </row>
    <row r="775">
      <c r="A775" s="18"/>
      <c r="B775" s="17"/>
      <c r="C775" s="17"/>
      <c r="D775" s="17"/>
      <c r="E775" s="17"/>
      <c r="F775" s="17"/>
      <c r="G775" s="17"/>
      <c r="M775" s="17"/>
      <c r="N775" s="17"/>
      <c r="O775" s="17"/>
      <c r="P775" s="17"/>
      <c r="Q775" s="17"/>
      <c r="R775" s="17"/>
    </row>
    <row r="776">
      <c r="A776" s="18"/>
      <c r="B776" s="17"/>
      <c r="C776" s="17"/>
      <c r="D776" s="17"/>
      <c r="E776" s="17"/>
      <c r="F776" s="17"/>
      <c r="G776" s="17"/>
      <c r="M776" s="17"/>
      <c r="N776" s="17"/>
      <c r="O776" s="17"/>
      <c r="P776" s="17"/>
      <c r="Q776" s="17"/>
      <c r="R776" s="17"/>
    </row>
    <row r="777">
      <c r="A777" s="18"/>
      <c r="B777" s="17"/>
      <c r="C777" s="17"/>
      <c r="D777" s="17"/>
      <c r="E777" s="17"/>
      <c r="F777" s="17"/>
      <c r="G777" s="17"/>
      <c r="M777" s="17"/>
      <c r="N777" s="17"/>
      <c r="O777" s="17"/>
      <c r="P777" s="17"/>
      <c r="Q777" s="17"/>
      <c r="R777" s="17"/>
    </row>
    <row r="778">
      <c r="A778" s="18"/>
      <c r="B778" s="17"/>
      <c r="C778" s="17"/>
      <c r="D778" s="17"/>
      <c r="E778" s="17"/>
      <c r="F778" s="17"/>
      <c r="G778" s="17"/>
      <c r="M778" s="17"/>
      <c r="N778" s="17"/>
      <c r="O778" s="17"/>
      <c r="P778" s="17"/>
      <c r="Q778" s="17"/>
      <c r="R778" s="17"/>
    </row>
    <row r="779">
      <c r="A779" s="18"/>
      <c r="B779" s="17"/>
      <c r="C779" s="17"/>
      <c r="D779" s="17"/>
      <c r="E779" s="17"/>
      <c r="F779" s="17"/>
      <c r="G779" s="17"/>
      <c r="M779" s="17"/>
      <c r="N779" s="17"/>
      <c r="O779" s="17"/>
      <c r="P779" s="17"/>
      <c r="Q779" s="17"/>
      <c r="R779" s="17"/>
    </row>
    <row r="780">
      <c r="A780" s="18"/>
      <c r="B780" s="17"/>
      <c r="C780" s="17"/>
      <c r="D780" s="17"/>
      <c r="E780" s="17"/>
      <c r="F780" s="17"/>
      <c r="G780" s="17"/>
      <c r="M780" s="17"/>
      <c r="N780" s="17"/>
      <c r="O780" s="17"/>
      <c r="P780" s="17"/>
      <c r="Q780" s="17"/>
      <c r="R780" s="17"/>
    </row>
    <row r="781">
      <c r="A781" s="18"/>
      <c r="B781" s="17"/>
      <c r="C781" s="17"/>
      <c r="D781" s="17"/>
      <c r="E781" s="17"/>
      <c r="F781" s="17"/>
      <c r="G781" s="17"/>
      <c r="M781" s="17"/>
      <c r="N781" s="17"/>
      <c r="O781" s="17"/>
      <c r="P781" s="17"/>
      <c r="Q781" s="17"/>
      <c r="R781" s="17"/>
    </row>
    <row r="782">
      <c r="A782" s="18"/>
      <c r="B782" s="17"/>
      <c r="C782" s="17"/>
      <c r="D782" s="17"/>
      <c r="E782" s="17"/>
      <c r="F782" s="17"/>
      <c r="G782" s="17"/>
      <c r="M782" s="17"/>
      <c r="N782" s="17"/>
      <c r="O782" s="17"/>
      <c r="P782" s="17"/>
      <c r="Q782" s="17"/>
      <c r="R782" s="17"/>
    </row>
    <row r="783">
      <c r="A783" s="18"/>
      <c r="B783" s="17"/>
      <c r="C783" s="17"/>
      <c r="D783" s="17"/>
      <c r="E783" s="17"/>
      <c r="F783" s="17"/>
      <c r="G783" s="17"/>
      <c r="M783" s="17"/>
      <c r="N783" s="17"/>
      <c r="O783" s="17"/>
      <c r="P783" s="17"/>
      <c r="Q783" s="17"/>
      <c r="R783" s="17"/>
    </row>
    <row r="784">
      <c r="A784" s="18"/>
      <c r="B784" s="17"/>
      <c r="C784" s="17"/>
      <c r="D784" s="17"/>
      <c r="E784" s="17"/>
      <c r="F784" s="17"/>
      <c r="G784" s="17"/>
      <c r="M784" s="17"/>
      <c r="N784" s="17"/>
      <c r="O784" s="17"/>
      <c r="P784" s="17"/>
      <c r="Q784" s="17"/>
      <c r="R784" s="17"/>
    </row>
    <row r="785">
      <c r="A785" s="18"/>
      <c r="B785" s="17"/>
      <c r="C785" s="17"/>
      <c r="D785" s="17"/>
      <c r="E785" s="17"/>
      <c r="F785" s="17"/>
      <c r="G785" s="17"/>
      <c r="M785" s="17"/>
      <c r="N785" s="17"/>
      <c r="O785" s="17"/>
      <c r="P785" s="17"/>
      <c r="Q785" s="17"/>
      <c r="R785" s="17"/>
    </row>
    <row r="786">
      <c r="A786" s="18"/>
      <c r="B786" s="17"/>
      <c r="C786" s="17"/>
      <c r="D786" s="17"/>
      <c r="E786" s="17"/>
      <c r="F786" s="17"/>
      <c r="G786" s="17"/>
      <c r="M786" s="17"/>
      <c r="N786" s="17"/>
      <c r="O786" s="17"/>
      <c r="P786" s="17"/>
      <c r="Q786" s="17"/>
      <c r="R786" s="17"/>
    </row>
    <row r="787">
      <c r="A787" s="18"/>
      <c r="B787" s="17"/>
      <c r="C787" s="17"/>
      <c r="D787" s="17"/>
      <c r="E787" s="17"/>
      <c r="F787" s="17"/>
      <c r="G787" s="17"/>
      <c r="M787" s="17"/>
      <c r="N787" s="17"/>
      <c r="O787" s="17"/>
      <c r="P787" s="17"/>
      <c r="Q787" s="17"/>
      <c r="R787" s="17"/>
    </row>
    <row r="788">
      <c r="A788" s="18"/>
      <c r="B788" s="17"/>
      <c r="C788" s="17"/>
      <c r="D788" s="17"/>
      <c r="E788" s="17"/>
      <c r="F788" s="17"/>
      <c r="G788" s="17"/>
      <c r="M788" s="17"/>
      <c r="N788" s="17"/>
      <c r="O788" s="17"/>
      <c r="P788" s="17"/>
      <c r="Q788" s="17"/>
      <c r="R788" s="17"/>
    </row>
    <row r="789">
      <c r="A789" s="18"/>
      <c r="B789" s="17"/>
      <c r="C789" s="17"/>
      <c r="D789" s="17"/>
      <c r="E789" s="17"/>
      <c r="F789" s="17"/>
      <c r="G789" s="17"/>
      <c r="M789" s="17"/>
      <c r="N789" s="17"/>
      <c r="O789" s="17"/>
      <c r="P789" s="17"/>
      <c r="Q789" s="17"/>
      <c r="R789" s="17"/>
    </row>
    <row r="790">
      <c r="A790" s="18"/>
      <c r="B790" s="17"/>
      <c r="C790" s="17"/>
      <c r="D790" s="17"/>
      <c r="E790" s="17"/>
      <c r="F790" s="17"/>
      <c r="G790" s="17"/>
      <c r="M790" s="17"/>
      <c r="N790" s="17"/>
      <c r="O790" s="17"/>
      <c r="P790" s="17"/>
      <c r="Q790" s="17"/>
      <c r="R790" s="17"/>
    </row>
    <row r="791">
      <c r="A791" s="18"/>
      <c r="B791" s="17"/>
      <c r="C791" s="17"/>
      <c r="D791" s="17"/>
      <c r="E791" s="17"/>
      <c r="F791" s="17"/>
      <c r="G791" s="17"/>
      <c r="M791" s="17"/>
      <c r="N791" s="17"/>
      <c r="O791" s="17"/>
      <c r="P791" s="17"/>
      <c r="Q791" s="17"/>
      <c r="R791" s="17"/>
    </row>
    <row r="792">
      <c r="A792" s="18"/>
      <c r="B792" s="17"/>
      <c r="C792" s="17"/>
      <c r="D792" s="17"/>
      <c r="E792" s="17"/>
      <c r="F792" s="17"/>
      <c r="G792" s="17"/>
      <c r="M792" s="17"/>
      <c r="N792" s="17"/>
      <c r="O792" s="17"/>
      <c r="P792" s="17"/>
      <c r="Q792" s="17"/>
      <c r="R792" s="17"/>
    </row>
    <row r="793">
      <c r="A793" s="18"/>
      <c r="B793" s="17"/>
      <c r="C793" s="17"/>
      <c r="D793" s="17"/>
      <c r="E793" s="17"/>
      <c r="F793" s="17"/>
      <c r="G793" s="17"/>
      <c r="M793" s="17"/>
      <c r="N793" s="17"/>
      <c r="O793" s="17"/>
      <c r="P793" s="17"/>
      <c r="Q793" s="17"/>
      <c r="R793" s="17"/>
    </row>
    <row r="794">
      <c r="A794" s="18"/>
      <c r="B794" s="17"/>
      <c r="C794" s="17"/>
      <c r="D794" s="17"/>
      <c r="E794" s="17"/>
      <c r="F794" s="17"/>
      <c r="G794" s="17"/>
      <c r="M794" s="17"/>
      <c r="N794" s="17"/>
      <c r="O794" s="17"/>
      <c r="P794" s="17"/>
      <c r="Q794" s="17"/>
      <c r="R794" s="17"/>
    </row>
    <row r="795">
      <c r="A795" s="18"/>
      <c r="B795" s="17"/>
      <c r="C795" s="17"/>
      <c r="D795" s="17"/>
      <c r="E795" s="17"/>
      <c r="F795" s="17"/>
      <c r="G795" s="17"/>
      <c r="M795" s="17"/>
      <c r="N795" s="17"/>
      <c r="O795" s="17"/>
      <c r="P795" s="17"/>
      <c r="Q795" s="17"/>
      <c r="R795" s="17"/>
    </row>
    <row r="796">
      <c r="A796" s="18"/>
      <c r="B796" s="17"/>
      <c r="C796" s="17"/>
      <c r="D796" s="17"/>
      <c r="E796" s="17"/>
      <c r="F796" s="17"/>
      <c r="G796" s="17"/>
      <c r="M796" s="17"/>
      <c r="N796" s="17"/>
      <c r="O796" s="17"/>
      <c r="P796" s="17"/>
      <c r="Q796" s="17"/>
      <c r="R796" s="17"/>
    </row>
    <row r="797">
      <c r="A797" s="18"/>
      <c r="B797" s="17"/>
      <c r="C797" s="17"/>
      <c r="D797" s="17"/>
      <c r="E797" s="17"/>
      <c r="F797" s="17"/>
      <c r="G797" s="17"/>
      <c r="M797" s="17"/>
      <c r="N797" s="17"/>
      <c r="O797" s="17"/>
      <c r="P797" s="17"/>
      <c r="Q797" s="17"/>
      <c r="R797" s="17"/>
    </row>
    <row r="798">
      <c r="A798" s="18"/>
      <c r="B798" s="17"/>
      <c r="C798" s="17"/>
      <c r="D798" s="17"/>
      <c r="E798" s="17"/>
      <c r="F798" s="17"/>
      <c r="G798" s="17"/>
      <c r="M798" s="17"/>
      <c r="N798" s="17"/>
      <c r="O798" s="17"/>
      <c r="P798" s="17"/>
      <c r="Q798" s="17"/>
      <c r="R798" s="17"/>
    </row>
    <row r="799">
      <c r="A799" s="18"/>
      <c r="B799" s="17"/>
      <c r="C799" s="17"/>
      <c r="D799" s="17"/>
      <c r="E799" s="17"/>
      <c r="F799" s="17"/>
      <c r="G799" s="17"/>
      <c r="M799" s="17"/>
      <c r="N799" s="17"/>
      <c r="O799" s="17"/>
      <c r="P799" s="17"/>
      <c r="Q799" s="17"/>
      <c r="R799" s="17"/>
    </row>
    <row r="800">
      <c r="A800" s="18"/>
      <c r="B800" s="17"/>
      <c r="C800" s="17"/>
      <c r="D800" s="17"/>
      <c r="E800" s="17"/>
      <c r="F800" s="17"/>
      <c r="G800" s="17"/>
      <c r="M800" s="17"/>
      <c r="N800" s="17"/>
      <c r="O800" s="17"/>
      <c r="P800" s="17"/>
      <c r="Q800" s="17"/>
      <c r="R800" s="17"/>
    </row>
    <row r="801">
      <c r="A801" s="18"/>
      <c r="B801" s="17"/>
      <c r="C801" s="17"/>
      <c r="D801" s="17"/>
      <c r="E801" s="17"/>
      <c r="F801" s="17"/>
      <c r="G801" s="17"/>
      <c r="M801" s="17"/>
      <c r="N801" s="17"/>
      <c r="O801" s="17"/>
      <c r="P801" s="17"/>
      <c r="Q801" s="17"/>
      <c r="R801" s="17"/>
    </row>
    <row r="802">
      <c r="A802" s="18"/>
      <c r="B802" s="17"/>
      <c r="C802" s="17"/>
      <c r="D802" s="17"/>
      <c r="E802" s="17"/>
      <c r="F802" s="17"/>
      <c r="G802" s="17"/>
      <c r="M802" s="17"/>
      <c r="N802" s="17"/>
      <c r="O802" s="17"/>
      <c r="P802" s="17"/>
      <c r="Q802" s="17"/>
      <c r="R802" s="17"/>
    </row>
    <row r="803">
      <c r="A803" s="18"/>
      <c r="B803" s="17"/>
      <c r="C803" s="17"/>
      <c r="D803" s="17"/>
      <c r="E803" s="17"/>
      <c r="F803" s="17"/>
      <c r="G803" s="17"/>
      <c r="M803" s="17"/>
      <c r="N803" s="17"/>
      <c r="O803" s="17"/>
      <c r="P803" s="17"/>
      <c r="Q803" s="17"/>
      <c r="R803" s="17"/>
    </row>
    <row r="804">
      <c r="A804" s="18"/>
      <c r="B804" s="17"/>
      <c r="C804" s="17"/>
      <c r="D804" s="17"/>
      <c r="E804" s="17"/>
      <c r="F804" s="17"/>
      <c r="G804" s="17"/>
      <c r="M804" s="17"/>
      <c r="N804" s="17"/>
      <c r="O804" s="17"/>
      <c r="P804" s="17"/>
      <c r="Q804" s="17"/>
      <c r="R804" s="17"/>
    </row>
    <row r="805">
      <c r="A805" s="18"/>
      <c r="B805" s="17"/>
      <c r="C805" s="17"/>
      <c r="D805" s="17"/>
      <c r="E805" s="17"/>
      <c r="F805" s="17"/>
      <c r="G805" s="17"/>
      <c r="M805" s="17"/>
      <c r="N805" s="17"/>
      <c r="O805" s="17"/>
      <c r="P805" s="17"/>
      <c r="Q805" s="17"/>
      <c r="R805" s="17"/>
    </row>
    <row r="806">
      <c r="A806" s="18"/>
      <c r="B806" s="17"/>
      <c r="C806" s="17"/>
      <c r="D806" s="17"/>
      <c r="E806" s="17"/>
      <c r="F806" s="17"/>
      <c r="G806" s="17"/>
      <c r="M806" s="17"/>
      <c r="N806" s="17"/>
      <c r="O806" s="17"/>
      <c r="P806" s="17"/>
      <c r="Q806" s="17"/>
      <c r="R806" s="17"/>
    </row>
    <row r="807">
      <c r="A807" s="18"/>
      <c r="B807" s="17"/>
      <c r="C807" s="17"/>
      <c r="D807" s="17"/>
      <c r="E807" s="17"/>
      <c r="F807" s="17"/>
      <c r="G807" s="17"/>
      <c r="M807" s="17"/>
      <c r="N807" s="17"/>
      <c r="O807" s="17"/>
      <c r="P807" s="17"/>
      <c r="Q807" s="17"/>
      <c r="R807" s="17"/>
    </row>
    <row r="808">
      <c r="A808" s="18"/>
      <c r="B808" s="17"/>
      <c r="C808" s="17"/>
      <c r="D808" s="17"/>
      <c r="E808" s="17"/>
      <c r="F808" s="17"/>
      <c r="G808" s="17"/>
      <c r="M808" s="17"/>
      <c r="N808" s="17"/>
      <c r="O808" s="17"/>
      <c r="P808" s="17"/>
      <c r="Q808" s="17"/>
      <c r="R808" s="17"/>
    </row>
    <row r="809">
      <c r="A809" s="18"/>
      <c r="B809" s="17"/>
      <c r="C809" s="17"/>
      <c r="D809" s="17"/>
      <c r="E809" s="17"/>
      <c r="F809" s="17"/>
      <c r="G809" s="17"/>
      <c r="M809" s="17"/>
      <c r="N809" s="17"/>
      <c r="O809" s="17"/>
      <c r="P809" s="17"/>
      <c r="Q809" s="17"/>
      <c r="R809" s="17"/>
    </row>
    <row r="810">
      <c r="A810" s="18"/>
      <c r="B810" s="17"/>
      <c r="C810" s="17"/>
      <c r="D810" s="17"/>
      <c r="E810" s="17"/>
      <c r="F810" s="17"/>
      <c r="G810" s="17"/>
      <c r="M810" s="17"/>
      <c r="N810" s="17"/>
      <c r="O810" s="17"/>
      <c r="P810" s="17"/>
      <c r="Q810" s="17"/>
      <c r="R810" s="17"/>
    </row>
    <row r="811">
      <c r="A811" s="18"/>
      <c r="B811" s="17"/>
      <c r="C811" s="17"/>
      <c r="D811" s="17"/>
      <c r="E811" s="17"/>
      <c r="F811" s="17"/>
      <c r="G811" s="17"/>
      <c r="M811" s="17"/>
      <c r="N811" s="17"/>
      <c r="O811" s="17"/>
      <c r="P811" s="17"/>
      <c r="Q811" s="17"/>
      <c r="R811" s="17"/>
    </row>
    <row r="812">
      <c r="A812" s="18"/>
      <c r="B812" s="17"/>
      <c r="C812" s="17"/>
      <c r="D812" s="17"/>
      <c r="E812" s="17"/>
      <c r="F812" s="17"/>
      <c r="G812" s="17"/>
      <c r="M812" s="17"/>
      <c r="N812" s="17"/>
      <c r="O812" s="17"/>
      <c r="P812" s="17"/>
      <c r="Q812" s="17"/>
      <c r="R812" s="17"/>
    </row>
    <row r="813">
      <c r="A813" s="18"/>
      <c r="B813" s="17"/>
      <c r="C813" s="17"/>
      <c r="D813" s="17"/>
      <c r="E813" s="17"/>
      <c r="F813" s="17"/>
      <c r="G813" s="17"/>
      <c r="M813" s="17"/>
      <c r="N813" s="17"/>
      <c r="O813" s="17"/>
      <c r="P813" s="17"/>
      <c r="Q813" s="17"/>
      <c r="R813" s="17"/>
    </row>
    <row r="814">
      <c r="A814" s="18"/>
      <c r="B814" s="17"/>
      <c r="C814" s="17"/>
      <c r="D814" s="17"/>
      <c r="E814" s="17"/>
      <c r="F814" s="17"/>
      <c r="G814" s="17"/>
      <c r="M814" s="17"/>
      <c r="N814" s="17"/>
      <c r="O814" s="17"/>
      <c r="P814" s="17"/>
      <c r="Q814" s="17"/>
      <c r="R814" s="17"/>
    </row>
    <row r="815">
      <c r="A815" s="18"/>
      <c r="B815" s="17"/>
      <c r="C815" s="17"/>
      <c r="D815" s="17"/>
      <c r="E815" s="17"/>
      <c r="F815" s="17"/>
      <c r="G815" s="17"/>
      <c r="M815" s="17"/>
      <c r="N815" s="17"/>
      <c r="O815" s="17"/>
      <c r="P815" s="17"/>
      <c r="Q815" s="17"/>
      <c r="R815" s="17"/>
    </row>
    <row r="816">
      <c r="A816" s="18"/>
      <c r="B816" s="17"/>
      <c r="C816" s="17"/>
      <c r="D816" s="17"/>
      <c r="E816" s="17"/>
      <c r="F816" s="17"/>
      <c r="G816" s="17"/>
      <c r="M816" s="17"/>
      <c r="N816" s="17"/>
      <c r="O816" s="17"/>
      <c r="P816" s="17"/>
      <c r="Q816" s="17"/>
      <c r="R816" s="17"/>
    </row>
    <row r="817">
      <c r="A817" s="18"/>
      <c r="B817" s="17"/>
      <c r="C817" s="17"/>
      <c r="D817" s="17"/>
      <c r="E817" s="17"/>
      <c r="F817" s="17"/>
      <c r="G817" s="17"/>
      <c r="M817" s="17"/>
      <c r="N817" s="17"/>
      <c r="O817" s="17"/>
      <c r="P817" s="17"/>
      <c r="Q817" s="17"/>
      <c r="R817" s="17"/>
    </row>
    <row r="818">
      <c r="A818" s="18"/>
      <c r="B818" s="17"/>
      <c r="C818" s="17"/>
      <c r="D818" s="17"/>
      <c r="E818" s="17"/>
      <c r="F818" s="17"/>
      <c r="G818" s="17"/>
      <c r="M818" s="17"/>
      <c r="N818" s="17"/>
      <c r="O818" s="17"/>
      <c r="P818" s="17"/>
      <c r="Q818" s="17"/>
      <c r="R818" s="17"/>
    </row>
    <row r="819">
      <c r="A819" s="18"/>
      <c r="B819" s="17"/>
      <c r="C819" s="17"/>
      <c r="D819" s="17"/>
      <c r="E819" s="17"/>
      <c r="F819" s="17"/>
      <c r="G819" s="17"/>
      <c r="M819" s="17"/>
      <c r="N819" s="17"/>
      <c r="O819" s="17"/>
      <c r="P819" s="17"/>
      <c r="Q819" s="17"/>
      <c r="R819" s="17"/>
    </row>
    <row r="820">
      <c r="A820" s="18"/>
      <c r="B820" s="17"/>
      <c r="C820" s="17"/>
      <c r="D820" s="17"/>
      <c r="E820" s="17"/>
      <c r="F820" s="17"/>
      <c r="G820" s="17"/>
      <c r="M820" s="17"/>
      <c r="N820" s="17"/>
      <c r="O820" s="17"/>
      <c r="P820" s="17"/>
      <c r="Q820" s="17"/>
      <c r="R820" s="17"/>
    </row>
    <row r="821">
      <c r="A821" s="18"/>
      <c r="B821" s="17"/>
      <c r="C821" s="17"/>
      <c r="D821" s="17"/>
      <c r="E821" s="17"/>
      <c r="F821" s="17"/>
      <c r="G821" s="17"/>
      <c r="M821" s="17"/>
      <c r="N821" s="17"/>
      <c r="O821" s="17"/>
      <c r="P821" s="17"/>
      <c r="Q821" s="17"/>
      <c r="R821" s="17"/>
    </row>
    <row r="822">
      <c r="A822" s="18"/>
      <c r="B822" s="17"/>
      <c r="C822" s="17"/>
      <c r="D822" s="17"/>
      <c r="E822" s="17"/>
      <c r="F822" s="17"/>
      <c r="G822" s="17"/>
      <c r="M822" s="17"/>
      <c r="N822" s="17"/>
      <c r="O822" s="17"/>
      <c r="P822" s="17"/>
      <c r="Q822" s="17"/>
      <c r="R822" s="17"/>
    </row>
    <row r="823">
      <c r="A823" s="18"/>
      <c r="B823" s="17"/>
      <c r="C823" s="17"/>
      <c r="D823" s="17"/>
      <c r="E823" s="17"/>
      <c r="F823" s="17"/>
      <c r="G823" s="17"/>
      <c r="M823" s="17"/>
      <c r="N823" s="17"/>
      <c r="O823" s="17"/>
      <c r="P823" s="17"/>
      <c r="Q823" s="17"/>
      <c r="R823" s="17"/>
    </row>
    <row r="824">
      <c r="A824" s="18"/>
      <c r="B824" s="17"/>
      <c r="C824" s="17"/>
      <c r="D824" s="17"/>
      <c r="E824" s="17"/>
      <c r="F824" s="17"/>
      <c r="G824" s="17"/>
      <c r="M824" s="17"/>
      <c r="N824" s="17"/>
      <c r="O824" s="17"/>
      <c r="P824" s="17"/>
      <c r="Q824" s="17"/>
      <c r="R824" s="17"/>
    </row>
    <row r="825">
      <c r="A825" s="18"/>
      <c r="B825" s="17"/>
      <c r="C825" s="17"/>
      <c r="D825" s="17"/>
      <c r="E825" s="17"/>
      <c r="F825" s="17"/>
      <c r="G825" s="17"/>
      <c r="M825" s="17"/>
      <c r="N825" s="17"/>
      <c r="O825" s="17"/>
      <c r="P825" s="17"/>
      <c r="Q825" s="17"/>
      <c r="R825" s="17"/>
    </row>
    <row r="826">
      <c r="A826" s="18"/>
      <c r="B826" s="17"/>
      <c r="C826" s="17"/>
      <c r="D826" s="17"/>
      <c r="E826" s="17"/>
      <c r="F826" s="17"/>
      <c r="G826" s="17"/>
      <c r="M826" s="17"/>
      <c r="N826" s="17"/>
      <c r="O826" s="17"/>
      <c r="P826" s="17"/>
      <c r="Q826" s="17"/>
      <c r="R826" s="17"/>
    </row>
    <row r="827">
      <c r="A827" s="18"/>
      <c r="B827" s="17"/>
      <c r="C827" s="17"/>
      <c r="D827" s="17"/>
      <c r="E827" s="17"/>
      <c r="F827" s="17"/>
      <c r="G827" s="17"/>
      <c r="M827" s="17"/>
      <c r="N827" s="17"/>
      <c r="O827" s="17"/>
      <c r="P827" s="17"/>
      <c r="Q827" s="17"/>
      <c r="R827" s="17"/>
    </row>
    <row r="828">
      <c r="A828" s="18"/>
      <c r="B828" s="17"/>
      <c r="C828" s="17"/>
      <c r="D828" s="17"/>
      <c r="E828" s="17"/>
      <c r="F828" s="17"/>
      <c r="G828" s="17"/>
      <c r="M828" s="17"/>
      <c r="N828" s="17"/>
      <c r="O828" s="17"/>
      <c r="P828" s="17"/>
      <c r="Q828" s="17"/>
      <c r="R828" s="17"/>
    </row>
    <row r="829">
      <c r="A829" s="18"/>
      <c r="B829" s="17"/>
      <c r="C829" s="17"/>
      <c r="D829" s="17"/>
      <c r="E829" s="17"/>
      <c r="F829" s="17"/>
      <c r="G829" s="17"/>
      <c r="M829" s="17"/>
      <c r="N829" s="17"/>
      <c r="O829" s="17"/>
      <c r="P829" s="17"/>
      <c r="Q829" s="17"/>
      <c r="R829" s="17"/>
    </row>
    <row r="830">
      <c r="A830" s="18"/>
      <c r="B830" s="17"/>
      <c r="C830" s="17"/>
      <c r="D830" s="17"/>
      <c r="E830" s="17"/>
      <c r="F830" s="17"/>
      <c r="G830" s="17"/>
      <c r="M830" s="17"/>
      <c r="N830" s="17"/>
      <c r="O830" s="17"/>
      <c r="P830" s="17"/>
      <c r="Q830" s="17"/>
      <c r="R830" s="17"/>
    </row>
    <row r="831">
      <c r="A831" s="18"/>
      <c r="B831" s="17"/>
      <c r="C831" s="17"/>
      <c r="D831" s="17"/>
      <c r="E831" s="17"/>
      <c r="F831" s="17"/>
      <c r="G831" s="17"/>
      <c r="M831" s="17"/>
      <c r="N831" s="17"/>
      <c r="O831" s="17"/>
      <c r="P831" s="17"/>
      <c r="Q831" s="17"/>
      <c r="R831" s="17"/>
    </row>
    <row r="832">
      <c r="A832" s="18"/>
      <c r="B832" s="17"/>
      <c r="C832" s="17"/>
      <c r="D832" s="17"/>
      <c r="E832" s="17"/>
      <c r="F832" s="17"/>
      <c r="G832" s="17"/>
      <c r="M832" s="17"/>
      <c r="N832" s="17"/>
      <c r="O832" s="17"/>
      <c r="P832" s="17"/>
      <c r="Q832" s="17"/>
      <c r="R832" s="17"/>
    </row>
    <row r="833">
      <c r="A833" s="18"/>
      <c r="B833" s="17"/>
      <c r="C833" s="17"/>
      <c r="D833" s="17"/>
      <c r="E833" s="17"/>
      <c r="F833" s="17"/>
      <c r="G833" s="17"/>
      <c r="M833" s="17"/>
      <c r="N833" s="17"/>
      <c r="O833" s="17"/>
      <c r="P833" s="17"/>
      <c r="Q833" s="17"/>
      <c r="R833" s="17"/>
    </row>
    <row r="834">
      <c r="A834" s="18"/>
      <c r="B834" s="17"/>
      <c r="C834" s="17"/>
      <c r="D834" s="17"/>
      <c r="E834" s="17"/>
      <c r="F834" s="17"/>
      <c r="G834" s="17"/>
      <c r="M834" s="17"/>
      <c r="N834" s="17"/>
      <c r="O834" s="17"/>
      <c r="P834" s="17"/>
      <c r="Q834" s="17"/>
      <c r="R834" s="17"/>
    </row>
    <row r="835">
      <c r="A835" s="18"/>
      <c r="B835" s="17"/>
      <c r="C835" s="17"/>
      <c r="D835" s="17"/>
      <c r="E835" s="17"/>
      <c r="F835" s="17"/>
      <c r="G835" s="17"/>
      <c r="M835" s="17"/>
      <c r="N835" s="17"/>
      <c r="O835" s="17"/>
      <c r="P835" s="17"/>
      <c r="Q835" s="17"/>
      <c r="R835" s="17"/>
    </row>
    <row r="836">
      <c r="A836" s="18"/>
      <c r="B836" s="17"/>
      <c r="C836" s="17"/>
      <c r="D836" s="17"/>
      <c r="E836" s="17"/>
      <c r="F836" s="17"/>
      <c r="G836" s="17"/>
      <c r="M836" s="17"/>
      <c r="N836" s="17"/>
      <c r="O836" s="17"/>
      <c r="P836" s="17"/>
      <c r="Q836" s="17"/>
      <c r="R836" s="17"/>
    </row>
    <row r="837">
      <c r="A837" s="18"/>
      <c r="B837" s="17"/>
      <c r="C837" s="17"/>
      <c r="D837" s="17"/>
      <c r="E837" s="17"/>
      <c r="F837" s="17"/>
      <c r="G837" s="17"/>
      <c r="M837" s="17"/>
      <c r="N837" s="17"/>
      <c r="O837" s="17"/>
      <c r="P837" s="17"/>
      <c r="Q837" s="17"/>
      <c r="R837" s="17"/>
    </row>
    <row r="838">
      <c r="A838" s="18"/>
      <c r="B838" s="17"/>
      <c r="C838" s="17"/>
      <c r="D838" s="17"/>
      <c r="E838" s="17"/>
      <c r="F838" s="17"/>
      <c r="G838" s="17"/>
      <c r="M838" s="17"/>
      <c r="N838" s="17"/>
      <c r="O838" s="17"/>
      <c r="P838" s="17"/>
      <c r="Q838" s="17"/>
      <c r="R838" s="17"/>
    </row>
    <row r="839">
      <c r="A839" s="18"/>
      <c r="B839" s="17"/>
      <c r="C839" s="17"/>
      <c r="D839" s="17"/>
      <c r="E839" s="17"/>
      <c r="F839" s="17"/>
      <c r="G839" s="17"/>
      <c r="M839" s="17"/>
      <c r="N839" s="17"/>
      <c r="O839" s="17"/>
      <c r="P839" s="17"/>
      <c r="Q839" s="17"/>
      <c r="R839" s="17"/>
    </row>
    <row r="840">
      <c r="A840" s="18"/>
      <c r="B840" s="17"/>
      <c r="C840" s="17"/>
      <c r="D840" s="17"/>
      <c r="E840" s="17"/>
      <c r="F840" s="17"/>
      <c r="G840" s="17"/>
      <c r="M840" s="17"/>
      <c r="N840" s="17"/>
      <c r="O840" s="17"/>
      <c r="P840" s="17"/>
      <c r="Q840" s="17"/>
      <c r="R840" s="17"/>
    </row>
    <row r="841">
      <c r="A841" s="18"/>
      <c r="B841" s="17"/>
      <c r="C841" s="17"/>
      <c r="D841" s="17"/>
      <c r="E841" s="17"/>
      <c r="F841" s="17"/>
      <c r="G841" s="17"/>
      <c r="M841" s="17"/>
      <c r="N841" s="17"/>
      <c r="O841" s="17"/>
      <c r="P841" s="17"/>
      <c r="Q841" s="17"/>
      <c r="R841" s="17"/>
    </row>
    <row r="842">
      <c r="A842" s="18"/>
      <c r="B842" s="17"/>
      <c r="C842" s="17"/>
      <c r="D842" s="17"/>
      <c r="E842" s="17"/>
      <c r="F842" s="17"/>
      <c r="G842" s="17"/>
      <c r="M842" s="17"/>
      <c r="N842" s="17"/>
      <c r="O842" s="17"/>
      <c r="P842" s="17"/>
      <c r="Q842" s="17"/>
      <c r="R842" s="17"/>
    </row>
    <row r="843">
      <c r="A843" s="18"/>
      <c r="B843" s="17"/>
      <c r="C843" s="17"/>
      <c r="D843" s="17"/>
      <c r="E843" s="17"/>
      <c r="F843" s="17"/>
      <c r="G843" s="17"/>
      <c r="M843" s="17"/>
      <c r="N843" s="17"/>
      <c r="O843" s="17"/>
      <c r="P843" s="17"/>
      <c r="Q843" s="17"/>
      <c r="R843" s="17"/>
    </row>
    <row r="844">
      <c r="A844" s="18"/>
      <c r="B844" s="17"/>
      <c r="C844" s="17"/>
      <c r="D844" s="17"/>
      <c r="E844" s="17"/>
      <c r="F844" s="17"/>
      <c r="G844" s="17"/>
      <c r="M844" s="17"/>
      <c r="N844" s="17"/>
      <c r="O844" s="17"/>
      <c r="P844" s="17"/>
      <c r="Q844" s="17"/>
      <c r="R844" s="17"/>
    </row>
    <row r="845">
      <c r="A845" s="18"/>
      <c r="B845" s="17"/>
      <c r="C845" s="17"/>
      <c r="D845" s="17"/>
      <c r="E845" s="17"/>
      <c r="F845" s="17"/>
      <c r="G845" s="17"/>
      <c r="M845" s="17"/>
      <c r="N845" s="17"/>
      <c r="O845" s="17"/>
      <c r="P845" s="17"/>
      <c r="Q845" s="17"/>
      <c r="R845" s="17"/>
    </row>
    <row r="846">
      <c r="A846" s="18"/>
      <c r="B846" s="17"/>
      <c r="C846" s="17"/>
      <c r="D846" s="17"/>
      <c r="E846" s="17"/>
      <c r="F846" s="17"/>
      <c r="G846" s="17"/>
      <c r="M846" s="17"/>
      <c r="N846" s="17"/>
      <c r="O846" s="17"/>
      <c r="P846" s="17"/>
      <c r="Q846" s="17"/>
      <c r="R846" s="17"/>
    </row>
    <row r="847">
      <c r="A847" s="18"/>
      <c r="B847" s="17"/>
      <c r="C847" s="17"/>
      <c r="D847" s="17"/>
      <c r="E847" s="17"/>
      <c r="F847" s="17"/>
      <c r="G847" s="17"/>
      <c r="M847" s="17"/>
      <c r="N847" s="17"/>
      <c r="O847" s="17"/>
      <c r="P847" s="17"/>
      <c r="Q847" s="17"/>
      <c r="R847" s="17"/>
    </row>
    <row r="848">
      <c r="A848" s="18"/>
      <c r="B848" s="17"/>
      <c r="C848" s="17"/>
      <c r="D848" s="17"/>
      <c r="E848" s="17"/>
      <c r="F848" s="17"/>
      <c r="G848" s="17"/>
      <c r="M848" s="17"/>
      <c r="N848" s="17"/>
      <c r="O848" s="17"/>
      <c r="P848" s="17"/>
      <c r="Q848" s="17"/>
      <c r="R848" s="17"/>
    </row>
    <row r="849">
      <c r="A849" s="18"/>
      <c r="B849" s="17"/>
      <c r="C849" s="17"/>
      <c r="D849" s="17"/>
      <c r="E849" s="17"/>
      <c r="F849" s="17"/>
      <c r="G849" s="17"/>
      <c r="M849" s="17"/>
      <c r="N849" s="17"/>
      <c r="O849" s="17"/>
      <c r="P849" s="17"/>
      <c r="Q849" s="17"/>
      <c r="R849" s="17"/>
    </row>
    <row r="850">
      <c r="A850" s="18"/>
      <c r="B850" s="17"/>
      <c r="C850" s="17"/>
      <c r="D850" s="17"/>
      <c r="E850" s="17"/>
      <c r="F850" s="17"/>
      <c r="G850" s="17"/>
      <c r="M850" s="17"/>
      <c r="N850" s="17"/>
      <c r="O850" s="17"/>
      <c r="P850" s="17"/>
      <c r="Q850" s="17"/>
      <c r="R850" s="17"/>
    </row>
    <row r="851">
      <c r="A851" s="18"/>
      <c r="B851" s="17"/>
      <c r="C851" s="17"/>
      <c r="D851" s="17"/>
      <c r="E851" s="17"/>
      <c r="F851" s="17"/>
      <c r="G851" s="17"/>
      <c r="M851" s="17"/>
      <c r="N851" s="17"/>
      <c r="O851" s="17"/>
      <c r="P851" s="17"/>
      <c r="Q851" s="17"/>
      <c r="R851" s="17"/>
    </row>
    <row r="852">
      <c r="A852" s="18"/>
      <c r="B852" s="17"/>
      <c r="C852" s="17"/>
      <c r="D852" s="17"/>
      <c r="E852" s="17"/>
      <c r="F852" s="17"/>
      <c r="G852" s="17"/>
      <c r="M852" s="17"/>
      <c r="N852" s="17"/>
      <c r="O852" s="17"/>
      <c r="P852" s="17"/>
      <c r="Q852" s="17"/>
      <c r="R852" s="17"/>
    </row>
    <row r="853">
      <c r="A853" s="18"/>
      <c r="B853" s="17"/>
      <c r="C853" s="17"/>
      <c r="D853" s="17"/>
      <c r="E853" s="17"/>
      <c r="F853" s="17"/>
      <c r="G853" s="17"/>
      <c r="M853" s="17"/>
      <c r="N853" s="17"/>
      <c r="O853" s="17"/>
      <c r="P853" s="17"/>
      <c r="Q853" s="17"/>
      <c r="R853" s="17"/>
    </row>
    <row r="854">
      <c r="A854" s="18"/>
      <c r="B854" s="17"/>
      <c r="C854" s="17"/>
      <c r="D854" s="17"/>
      <c r="E854" s="17"/>
      <c r="F854" s="17"/>
      <c r="G854" s="17"/>
      <c r="M854" s="17"/>
      <c r="N854" s="17"/>
      <c r="O854" s="17"/>
      <c r="P854" s="17"/>
      <c r="Q854" s="17"/>
      <c r="R854" s="17"/>
    </row>
    <row r="855">
      <c r="A855" s="18"/>
      <c r="B855" s="17"/>
      <c r="C855" s="17"/>
      <c r="D855" s="17"/>
      <c r="E855" s="17"/>
      <c r="F855" s="17"/>
      <c r="G855" s="17"/>
      <c r="M855" s="17"/>
      <c r="N855" s="17"/>
      <c r="O855" s="17"/>
      <c r="P855" s="17"/>
      <c r="Q855" s="17"/>
      <c r="R855" s="17"/>
    </row>
    <row r="856">
      <c r="A856" s="18"/>
      <c r="B856" s="17"/>
      <c r="C856" s="17"/>
      <c r="D856" s="17"/>
      <c r="E856" s="17"/>
      <c r="F856" s="17"/>
      <c r="G856" s="17"/>
      <c r="M856" s="17"/>
      <c r="N856" s="17"/>
      <c r="O856" s="17"/>
      <c r="P856" s="17"/>
      <c r="Q856" s="17"/>
      <c r="R856" s="17"/>
    </row>
    <row r="857">
      <c r="A857" s="18"/>
      <c r="B857" s="17"/>
      <c r="C857" s="17"/>
      <c r="D857" s="17"/>
      <c r="E857" s="17"/>
      <c r="F857" s="17"/>
      <c r="G857" s="17"/>
      <c r="M857" s="17"/>
      <c r="N857" s="17"/>
      <c r="O857" s="17"/>
      <c r="P857" s="17"/>
      <c r="Q857" s="17"/>
      <c r="R857" s="17"/>
    </row>
    <row r="858">
      <c r="A858" s="18"/>
      <c r="B858" s="17"/>
      <c r="C858" s="17"/>
      <c r="D858" s="17"/>
      <c r="E858" s="17"/>
      <c r="F858" s="17"/>
      <c r="G858" s="17"/>
      <c r="M858" s="17"/>
      <c r="N858" s="17"/>
      <c r="O858" s="17"/>
      <c r="P858" s="17"/>
      <c r="Q858" s="17"/>
      <c r="R858" s="17"/>
    </row>
    <row r="859">
      <c r="A859" s="18"/>
      <c r="B859" s="17"/>
      <c r="C859" s="17"/>
      <c r="D859" s="17"/>
      <c r="E859" s="17"/>
      <c r="F859" s="17"/>
      <c r="G859" s="17"/>
      <c r="M859" s="17"/>
      <c r="N859" s="17"/>
      <c r="O859" s="17"/>
      <c r="P859" s="17"/>
      <c r="Q859" s="17"/>
      <c r="R859" s="17"/>
    </row>
    <row r="860">
      <c r="A860" s="18"/>
      <c r="B860" s="17"/>
      <c r="C860" s="17"/>
      <c r="D860" s="17"/>
      <c r="E860" s="17"/>
      <c r="F860" s="17"/>
      <c r="G860" s="17"/>
      <c r="M860" s="17"/>
      <c r="N860" s="17"/>
      <c r="O860" s="17"/>
      <c r="P860" s="17"/>
      <c r="Q860" s="17"/>
      <c r="R860" s="17"/>
    </row>
    <row r="861">
      <c r="A861" s="18"/>
      <c r="B861" s="17"/>
      <c r="C861" s="17"/>
      <c r="D861" s="17"/>
      <c r="E861" s="17"/>
      <c r="F861" s="17"/>
      <c r="G861" s="17"/>
      <c r="M861" s="17"/>
      <c r="N861" s="17"/>
      <c r="O861" s="17"/>
      <c r="P861" s="17"/>
      <c r="Q861" s="17"/>
      <c r="R861" s="17"/>
    </row>
    <row r="862">
      <c r="A862" s="18"/>
      <c r="B862" s="17"/>
      <c r="C862" s="17"/>
      <c r="D862" s="17"/>
      <c r="E862" s="17"/>
      <c r="F862" s="17"/>
      <c r="G862" s="17"/>
      <c r="M862" s="17"/>
      <c r="N862" s="17"/>
      <c r="O862" s="17"/>
      <c r="P862" s="17"/>
      <c r="Q862" s="17"/>
      <c r="R862" s="17"/>
    </row>
    <row r="863">
      <c r="A863" s="18"/>
      <c r="B863" s="17"/>
      <c r="C863" s="17"/>
      <c r="D863" s="17"/>
      <c r="E863" s="17"/>
      <c r="F863" s="17"/>
      <c r="G863" s="17"/>
      <c r="M863" s="17"/>
      <c r="N863" s="17"/>
      <c r="O863" s="17"/>
      <c r="P863" s="17"/>
      <c r="Q863" s="17"/>
      <c r="R863" s="17"/>
    </row>
    <row r="864">
      <c r="A864" s="18"/>
      <c r="B864" s="17"/>
      <c r="C864" s="17"/>
      <c r="D864" s="17"/>
      <c r="E864" s="17"/>
      <c r="F864" s="17"/>
      <c r="G864" s="17"/>
      <c r="M864" s="17"/>
      <c r="N864" s="17"/>
      <c r="O864" s="17"/>
      <c r="P864" s="17"/>
      <c r="Q864" s="17"/>
      <c r="R864" s="17"/>
    </row>
    <row r="865">
      <c r="A865" s="18"/>
      <c r="B865" s="17"/>
      <c r="C865" s="17"/>
      <c r="D865" s="17"/>
      <c r="E865" s="17"/>
      <c r="F865" s="17"/>
      <c r="G865" s="17"/>
      <c r="M865" s="17"/>
      <c r="N865" s="17"/>
      <c r="O865" s="17"/>
      <c r="P865" s="17"/>
      <c r="Q865" s="17"/>
      <c r="R865" s="17"/>
    </row>
    <row r="866">
      <c r="A866" s="18"/>
      <c r="B866" s="17"/>
      <c r="C866" s="17"/>
      <c r="D866" s="17"/>
      <c r="E866" s="17"/>
      <c r="F866" s="17"/>
      <c r="G866" s="17"/>
      <c r="M866" s="17"/>
      <c r="N866" s="17"/>
      <c r="O866" s="17"/>
      <c r="P866" s="17"/>
      <c r="Q866" s="17"/>
      <c r="R866" s="17"/>
    </row>
    <row r="867">
      <c r="A867" s="18"/>
      <c r="B867" s="17"/>
      <c r="C867" s="17"/>
      <c r="D867" s="17"/>
      <c r="E867" s="17"/>
      <c r="F867" s="17"/>
      <c r="G867" s="17"/>
      <c r="M867" s="17"/>
      <c r="N867" s="17"/>
      <c r="O867" s="17"/>
      <c r="P867" s="17"/>
      <c r="Q867" s="17"/>
      <c r="R867" s="17"/>
    </row>
    <row r="868">
      <c r="A868" s="18"/>
      <c r="B868" s="17"/>
      <c r="C868" s="17"/>
      <c r="D868" s="17"/>
      <c r="E868" s="17"/>
      <c r="F868" s="17"/>
      <c r="G868" s="17"/>
      <c r="M868" s="17"/>
      <c r="N868" s="17"/>
      <c r="O868" s="17"/>
      <c r="P868" s="17"/>
      <c r="Q868" s="17"/>
      <c r="R868" s="17"/>
    </row>
    <row r="869">
      <c r="A869" s="18"/>
      <c r="B869" s="17"/>
      <c r="C869" s="17"/>
      <c r="D869" s="17"/>
      <c r="E869" s="17"/>
      <c r="F869" s="17"/>
      <c r="G869" s="17"/>
      <c r="M869" s="17"/>
      <c r="N869" s="17"/>
      <c r="O869" s="17"/>
      <c r="P869" s="17"/>
      <c r="Q869" s="17"/>
      <c r="R869" s="17"/>
    </row>
    <row r="870">
      <c r="A870" s="18"/>
      <c r="B870" s="17"/>
      <c r="C870" s="17"/>
      <c r="D870" s="17"/>
      <c r="E870" s="17"/>
      <c r="F870" s="17"/>
      <c r="G870" s="17"/>
      <c r="M870" s="17"/>
      <c r="N870" s="17"/>
      <c r="O870" s="17"/>
      <c r="P870" s="17"/>
      <c r="Q870" s="17"/>
      <c r="R870" s="17"/>
    </row>
    <row r="871">
      <c r="A871" s="18"/>
      <c r="B871" s="17"/>
      <c r="C871" s="17"/>
      <c r="D871" s="17"/>
      <c r="E871" s="17"/>
      <c r="F871" s="17"/>
      <c r="G871" s="17"/>
      <c r="M871" s="17"/>
      <c r="N871" s="17"/>
      <c r="O871" s="17"/>
      <c r="P871" s="17"/>
      <c r="Q871" s="17"/>
      <c r="R871" s="17"/>
    </row>
    <row r="872">
      <c r="A872" s="18"/>
      <c r="B872" s="17"/>
      <c r="C872" s="17"/>
      <c r="D872" s="17"/>
      <c r="E872" s="17"/>
      <c r="F872" s="17"/>
      <c r="G872" s="17"/>
      <c r="M872" s="17"/>
      <c r="N872" s="17"/>
      <c r="O872" s="17"/>
      <c r="P872" s="17"/>
      <c r="Q872" s="17"/>
      <c r="R872" s="17"/>
    </row>
    <row r="873">
      <c r="A873" s="18"/>
      <c r="B873" s="17"/>
      <c r="C873" s="17"/>
      <c r="D873" s="17"/>
      <c r="E873" s="17"/>
      <c r="F873" s="17"/>
      <c r="G873" s="17"/>
      <c r="M873" s="17"/>
      <c r="N873" s="17"/>
      <c r="O873" s="17"/>
      <c r="P873" s="17"/>
      <c r="Q873" s="17"/>
      <c r="R873" s="17"/>
    </row>
    <row r="874">
      <c r="A874" s="18"/>
      <c r="B874" s="17"/>
      <c r="C874" s="17"/>
      <c r="D874" s="17"/>
      <c r="E874" s="17"/>
      <c r="F874" s="17"/>
      <c r="G874" s="17"/>
      <c r="M874" s="17"/>
      <c r="N874" s="17"/>
      <c r="O874" s="17"/>
      <c r="P874" s="17"/>
      <c r="Q874" s="17"/>
      <c r="R874" s="17"/>
    </row>
    <row r="875">
      <c r="A875" s="18"/>
      <c r="B875" s="17"/>
      <c r="C875" s="17"/>
      <c r="D875" s="17"/>
      <c r="E875" s="17"/>
      <c r="F875" s="17"/>
      <c r="G875" s="17"/>
      <c r="M875" s="17"/>
      <c r="N875" s="17"/>
      <c r="O875" s="17"/>
      <c r="P875" s="17"/>
      <c r="Q875" s="17"/>
      <c r="R875" s="17"/>
    </row>
    <row r="876">
      <c r="A876" s="18"/>
      <c r="B876" s="17"/>
      <c r="C876" s="17"/>
      <c r="D876" s="17"/>
      <c r="E876" s="17"/>
      <c r="F876" s="17"/>
      <c r="G876" s="17"/>
      <c r="M876" s="17"/>
      <c r="N876" s="17"/>
      <c r="O876" s="17"/>
      <c r="P876" s="17"/>
      <c r="Q876" s="17"/>
      <c r="R876" s="17"/>
    </row>
    <row r="877">
      <c r="A877" s="18"/>
      <c r="B877" s="17"/>
      <c r="C877" s="17"/>
      <c r="D877" s="17"/>
      <c r="E877" s="17"/>
      <c r="F877" s="17"/>
      <c r="G877" s="17"/>
      <c r="M877" s="17"/>
      <c r="N877" s="17"/>
      <c r="O877" s="17"/>
      <c r="P877" s="17"/>
      <c r="Q877" s="17"/>
      <c r="R877" s="17"/>
    </row>
    <row r="878">
      <c r="A878" s="18"/>
      <c r="B878" s="17"/>
      <c r="C878" s="17"/>
      <c r="D878" s="17"/>
      <c r="E878" s="17"/>
      <c r="F878" s="17"/>
      <c r="G878" s="17"/>
      <c r="M878" s="17"/>
      <c r="N878" s="17"/>
      <c r="O878" s="17"/>
      <c r="P878" s="17"/>
      <c r="Q878" s="17"/>
      <c r="R878" s="17"/>
    </row>
    <row r="879">
      <c r="A879" s="18"/>
      <c r="B879" s="17"/>
      <c r="C879" s="17"/>
      <c r="D879" s="17"/>
      <c r="E879" s="17"/>
      <c r="F879" s="17"/>
      <c r="G879" s="17"/>
      <c r="M879" s="17"/>
      <c r="N879" s="17"/>
      <c r="O879" s="17"/>
      <c r="P879" s="17"/>
      <c r="Q879" s="17"/>
      <c r="R879" s="17"/>
    </row>
    <row r="880">
      <c r="A880" s="18"/>
      <c r="B880" s="17"/>
      <c r="C880" s="17"/>
      <c r="D880" s="17"/>
      <c r="E880" s="17"/>
      <c r="F880" s="17"/>
      <c r="G880" s="17"/>
      <c r="M880" s="17"/>
      <c r="N880" s="17"/>
      <c r="O880" s="17"/>
      <c r="P880" s="17"/>
      <c r="Q880" s="17"/>
      <c r="R880" s="17"/>
    </row>
    <row r="881">
      <c r="A881" s="18"/>
      <c r="B881" s="17"/>
      <c r="C881" s="17"/>
      <c r="D881" s="17"/>
      <c r="E881" s="17"/>
      <c r="F881" s="17"/>
      <c r="G881" s="17"/>
      <c r="M881" s="17"/>
      <c r="N881" s="17"/>
      <c r="O881" s="17"/>
      <c r="P881" s="17"/>
      <c r="Q881" s="17"/>
      <c r="R881" s="17"/>
    </row>
    <row r="882">
      <c r="A882" s="18"/>
      <c r="B882" s="17"/>
      <c r="C882" s="17"/>
      <c r="D882" s="17"/>
      <c r="E882" s="17"/>
      <c r="F882" s="17"/>
      <c r="G882" s="17"/>
      <c r="M882" s="17"/>
      <c r="N882" s="17"/>
      <c r="O882" s="17"/>
      <c r="P882" s="17"/>
      <c r="Q882" s="17"/>
      <c r="R882" s="17"/>
    </row>
    <row r="883">
      <c r="A883" s="18"/>
      <c r="B883" s="17"/>
      <c r="C883" s="17"/>
      <c r="D883" s="17"/>
      <c r="E883" s="17"/>
      <c r="F883" s="17"/>
      <c r="G883" s="17"/>
      <c r="M883" s="17"/>
      <c r="N883" s="17"/>
      <c r="O883" s="17"/>
      <c r="P883" s="17"/>
      <c r="Q883" s="17"/>
      <c r="R883" s="17"/>
    </row>
    <row r="884">
      <c r="A884" s="18"/>
      <c r="B884" s="17"/>
      <c r="C884" s="17"/>
      <c r="D884" s="17"/>
      <c r="E884" s="17"/>
      <c r="F884" s="17"/>
      <c r="G884" s="17"/>
      <c r="M884" s="17"/>
      <c r="N884" s="17"/>
      <c r="O884" s="17"/>
      <c r="P884" s="17"/>
      <c r="Q884" s="17"/>
      <c r="R884" s="17"/>
    </row>
    <row r="885">
      <c r="A885" s="18"/>
      <c r="B885" s="17"/>
      <c r="C885" s="17"/>
      <c r="D885" s="17"/>
      <c r="E885" s="17"/>
      <c r="F885" s="17"/>
      <c r="G885" s="17"/>
      <c r="M885" s="17"/>
      <c r="N885" s="17"/>
      <c r="O885" s="17"/>
      <c r="P885" s="17"/>
      <c r="Q885" s="17"/>
      <c r="R885" s="17"/>
    </row>
    <row r="886">
      <c r="A886" s="18"/>
      <c r="B886" s="17"/>
      <c r="C886" s="17"/>
      <c r="D886" s="17"/>
      <c r="E886" s="17"/>
      <c r="F886" s="17"/>
      <c r="G886" s="17"/>
      <c r="M886" s="17"/>
      <c r="N886" s="17"/>
      <c r="O886" s="17"/>
      <c r="P886" s="17"/>
      <c r="Q886" s="17"/>
      <c r="R886" s="17"/>
    </row>
    <row r="887">
      <c r="A887" s="18"/>
      <c r="B887" s="17"/>
      <c r="C887" s="17"/>
      <c r="D887" s="17"/>
      <c r="E887" s="17"/>
      <c r="F887" s="17"/>
      <c r="G887" s="17"/>
      <c r="M887" s="17"/>
      <c r="N887" s="17"/>
      <c r="O887" s="17"/>
      <c r="P887" s="17"/>
      <c r="Q887" s="17"/>
      <c r="R887" s="17"/>
    </row>
    <row r="888">
      <c r="A888" s="18"/>
      <c r="B888" s="17"/>
      <c r="C888" s="17"/>
      <c r="D888" s="17"/>
      <c r="E888" s="17"/>
      <c r="F888" s="17"/>
      <c r="G888" s="17"/>
      <c r="M888" s="17"/>
      <c r="N888" s="17"/>
      <c r="O888" s="17"/>
      <c r="P888" s="17"/>
      <c r="Q888" s="17"/>
      <c r="R888" s="17"/>
    </row>
    <row r="889">
      <c r="A889" s="18"/>
      <c r="B889" s="17"/>
      <c r="C889" s="17"/>
      <c r="D889" s="17"/>
      <c r="E889" s="17"/>
      <c r="F889" s="17"/>
      <c r="G889" s="17"/>
      <c r="M889" s="17"/>
      <c r="N889" s="17"/>
      <c r="O889" s="17"/>
      <c r="P889" s="17"/>
      <c r="Q889" s="17"/>
      <c r="R889" s="17"/>
    </row>
    <row r="890">
      <c r="A890" s="18"/>
      <c r="B890" s="17"/>
      <c r="C890" s="17"/>
      <c r="D890" s="17"/>
      <c r="E890" s="17"/>
      <c r="F890" s="17"/>
      <c r="G890" s="17"/>
      <c r="M890" s="17"/>
      <c r="N890" s="17"/>
      <c r="O890" s="17"/>
      <c r="P890" s="17"/>
      <c r="Q890" s="17"/>
      <c r="R890" s="17"/>
    </row>
    <row r="891">
      <c r="A891" s="18"/>
      <c r="B891" s="17"/>
      <c r="C891" s="17"/>
      <c r="D891" s="17"/>
      <c r="E891" s="17"/>
      <c r="F891" s="17"/>
      <c r="G891" s="17"/>
      <c r="M891" s="17"/>
      <c r="N891" s="17"/>
      <c r="O891" s="17"/>
      <c r="P891" s="17"/>
      <c r="Q891" s="17"/>
      <c r="R891" s="17"/>
    </row>
    <row r="892">
      <c r="A892" s="18"/>
      <c r="B892" s="17"/>
      <c r="C892" s="17"/>
      <c r="D892" s="17"/>
      <c r="E892" s="17"/>
      <c r="F892" s="17"/>
      <c r="G892" s="17"/>
      <c r="M892" s="17"/>
      <c r="N892" s="17"/>
      <c r="O892" s="17"/>
      <c r="P892" s="17"/>
      <c r="Q892" s="17"/>
      <c r="R892" s="17"/>
    </row>
    <row r="893">
      <c r="A893" s="18"/>
      <c r="B893" s="17"/>
      <c r="C893" s="17"/>
      <c r="D893" s="17"/>
      <c r="E893" s="17"/>
      <c r="F893" s="17"/>
      <c r="G893" s="17"/>
      <c r="M893" s="17"/>
      <c r="N893" s="17"/>
      <c r="O893" s="17"/>
      <c r="P893" s="17"/>
      <c r="Q893" s="17"/>
      <c r="R893" s="17"/>
    </row>
    <row r="894">
      <c r="A894" s="18"/>
      <c r="B894" s="17"/>
      <c r="C894" s="17"/>
      <c r="D894" s="17"/>
      <c r="E894" s="17"/>
      <c r="F894" s="17"/>
      <c r="G894" s="17"/>
      <c r="M894" s="17"/>
      <c r="N894" s="17"/>
      <c r="O894" s="17"/>
      <c r="P894" s="17"/>
      <c r="Q894" s="17"/>
      <c r="R894" s="17"/>
    </row>
    <row r="895">
      <c r="A895" s="18"/>
      <c r="B895" s="17"/>
      <c r="C895" s="17"/>
      <c r="D895" s="17"/>
      <c r="E895" s="17"/>
      <c r="F895" s="17"/>
      <c r="G895" s="17"/>
      <c r="M895" s="17"/>
      <c r="N895" s="17"/>
      <c r="O895" s="17"/>
      <c r="P895" s="17"/>
      <c r="Q895" s="17"/>
      <c r="R895" s="17"/>
    </row>
    <row r="896">
      <c r="A896" s="18"/>
      <c r="B896" s="17"/>
      <c r="C896" s="17"/>
      <c r="D896" s="17"/>
      <c r="E896" s="17"/>
      <c r="F896" s="17"/>
      <c r="G896" s="17"/>
      <c r="M896" s="17"/>
      <c r="N896" s="17"/>
      <c r="O896" s="17"/>
      <c r="P896" s="17"/>
      <c r="Q896" s="17"/>
      <c r="R896" s="17"/>
    </row>
    <row r="897">
      <c r="A897" s="18"/>
      <c r="B897" s="17"/>
      <c r="C897" s="17"/>
      <c r="D897" s="17"/>
      <c r="E897" s="17"/>
      <c r="F897" s="17"/>
      <c r="G897" s="17"/>
      <c r="M897" s="17"/>
      <c r="N897" s="17"/>
      <c r="O897" s="17"/>
      <c r="P897" s="17"/>
      <c r="Q897" s="17"/>
      <c r="R897" s="17"/>
    </row>
    <row r="898">
      <c r="A898" s="18"/>
      <c r="B898" s="17"/>
      <c r="C898" s="17"/>
      <c r="D898" s="17"/>
      <c r="E898" s="17"/>
      <c r="F898" s="17"/>
      <c r="G898" s="17"/>
      <c r="M898" s="17"/>
      <c r="N898" s="17"/>
      <c r="O898" s="17"/>
      <c r="P898" s="17"/>
      <c r="Q898" s="17"/>
      <c r="R898" s="17"/>
    </row>
    <row r="899">
      <c r="A899" s="18"/>
      <c r="B899" s="17"/>
      <c r="C899" s="17"/>
      <c r="D899" s="17"/>
      <c r="E899" s="17"/>
      <c r="F899" s="17"/>
      <c r="G899" s="17"/>
      <c r="M899" s="17"/>
      <c r="N899" s="17"/>
      <c r="O899" s="17"/>
      <c r="P899" s="17"/>
      <c r="Q899" s="17"/>
      <c r="R899" s="17"/>
    </row>
    <row r="900">
      <c r="A900" s="18"/>
      <c r="B900" s="17"/>
      <c r="C900" s="17"/>
      <c r="D900" s="17"/>
      <c r="E900" s="17"/>
      <c r="F900" s="17"/>
      <c r="G900" s="17"/>
      <c r="M900" s="17"/>
      <c r="N900" s="17"/>
      <c r="O900" s="17"/>
      <c r="P900" s="17"/>
      <c r="Q900" s="17"/>
      <c r="R900" s="17"/>
    </row>
    <row r="901">
      <c r="A901" s="18"/>
      <c r="B901" s="17"/>
      <c r="C901" s="17"/>
      <c r="D901" s="17"/>
      <c r="E901" s="17"/>
      <c r="F901" s="17"/>
      <c r="G901" s="17"/>
      <c r="M901" s="17"/>
      <c r="N901" s="17"/>
      <c r="O901" s="17"/>
      <c r="P901" s="17"/>
      <c r="Q901" s="17"/>
      <c r="R901" s="17"/>
    </row>
    <row r="902">
      <c r="A902" s="18"/>
      <c r="B902" s="17"/>
      <c r="C902" s="17"/>
      <c r="D902" s="17"/>
      <c r="E902" s="17"/>
      <c r="F902" s="17"/>
      <c r="G902" s="17"/>
      <c r="M902" s="17"/>
      <c r="N902" s="17"/>
      <c r="O902" s="17"/>
      <c r="P902" s="17"/>
      <c r="Q902" s="17"/>
      <c r="R902" s="17"/>
    </row>
    <row r="903">
      <c r="A903" s="18"/>
      <c r="B903" s="17"/>
      <c r="C903" s="17"/>
      <c r="D903" s="17"/>
      <c r="E903" s="17"/>
      <c r="F903" s="17"/>
      <c r="G903" s="17"/>
      <c r="M903" s="17"/>
      <c r="N903" s="17"/>
      <c r="O903" s="17"/>
      <c r="P903" s="17"/>
      <c r="Q903" s="17"/>
      <c r="R903" s="17"/>
    </row>
    <row r="904">
      <c r="A904" s="18"/>
      <c r="B904" s="17"/>
      <c r="C904" s="17"/>
      <c r="D904" s="17"/>
      <c r="E904" s="17"/>
      <c r="F904" s="17"/>
      <c r="G904" s="17"/>
      <c r="M904" s="17"/>
      <c r="N904" s="17"/>
      <c r="O904" s="17"/>
      <c r="P904" s="17"/>
      <c r="Q904" s="17"/>
      <c r="R904" s="17"/>
    </row>
    <row r="905">
      <c r="A905" s="18"/>
      <c r="B905" s="17"/>
      <c r="C905" s="17"/>
      <c r="D905" s="17"/>
      <c r="E905" s="17"/>
      <c r="F905" s="17"/>
      <c r="G905" s="17"/>
      <c r="M905" s="17"/>
      <c r="N905" s="17"/>
      <c r="O905" s="17"/>
      <c r="P905" s="17"/>
      <c r="Q905" s="17"/>
      <c r="R905" s="17"/>
    </row>
    <row r="906">
      <c r="A906" s="18"/>
      <c r="B906" s="17"/>
      <c r="C906" s="17"/>
      <c r="D906" s="17"/>
      <c r="E906" s="17"/>
      <c r="F906" s="17"/>
      <c r="G906" s="17"/>
      <c r="M906" s="17"/>
      <c r="N906" s="17"/>
      <c r="O906" s="17"/>
      <c r="P906" s="17"/>
      <c r="Q906" s="17"/>
      <c r="R906" s="17"/>
    </row>
    <row r="907">
      <c r="A907" s="18"/>
      <c r="B907" s="17"/>
      <c r="C907" s="17"/>
      <c r="D907" s="17"/>
      <c r="E907" s="17"/>
      <c r="F907" s="17"/>
      <c r="G907" s="17"/>
      <c r="M907" s="17"/>
      <c r="N907" s="17"/>
      <c r="O907" s="17"/>
      <c r="P907" s="17"/>
      <c r="Q907" s="17"/>
      <c r="R907" s="17"/>
    </row>
    <row r="908">
      <c r="A908" s="18"/>
      <c r="B908" s="17"/>
      <c r="C908" s="17"/>
      <c r="D908" s="17"/>
      <c r="E908" s="17"/>
      <c r="F908" s="17"/>
      <c r="G908" s="17"/>
      <c r="M908" s="17"/>
      <c r="N908" s="17"/>
      <c r="O908" s="17"/>
      <c r="P908" s="17"/>
      <c r="Q908" s="17"/>
      <c r="R908" s="17"/>
    </row>
    <row r="909">
      <c r="A909" s="18"/>
      <c r="B909" s="17"/>
      <c r="C909" s="17"/>
      <c r="D909" s="17"/>
      <c r="E909" s="17"/>
      <c r="F909" s="17"/>
      <c r="G909" s="17"/>
      <c r="M909" s="17"/>
      <c r="N909" s="17"/>
      <c r="O909" s="17"/>
      <c r="P909" s="17"/>
      <c r="Q909" s="17"/>
      <c r="R909" s="17"/>
    </row>
    <row r="910">
      <c r="A910" s="18"/>
      <c r="B910" s="17"/>
      <c r="C910" s="17"/>
      <c r="D910" s="17"/>
      <c r="E910" s="17"/>
      <c r="F910" s="17"/>
      <c r="G910" s="17"/>
      <c r="M910" s="17"/>
      <c r="N910" s="17"/>
      <c r="O910" s="17"/>
      <c r="P910" s="17"/>
      <c r="Q910" s="17"/>
      <c r="R910" s="17"/>
    </row>
    <row r="911">
      <c r="A911" s="18"/>
      <c r="B911" s="17"/>
      <c r="C911" s="17"/>
      <c r="D911" s="17"/>
      <c r="E911" s="17"/>
      <c r="F911" s="17"/>
      <c r="G911" s="17"/>
      <c r="M911" s="17"/>
      <c r="N911" s="17"/>
      <c r="O911" s="17"/>
      <c r="P911" s="17"/>
      <c r="Q911" s="17"/>
      <c r="R911" s="17"/>
    </row>
    <row r="912">
      <c r="A912" s="18"/>
      <c r="B912" s="17"/>
      <c r="C912" s="17"/>
      <c r="D912" s="17"/>
      <c r="E912" s="17"/>
      <c r="F912" s="17"/>
      <c r="G912" s="17"/>
      <c r="M912" s="17"/>
      <c r="N912" s="17"/>
      <c r="O912" s="17"/>
      <c r="P912" s="17"/>
      <c r="Q912" s="17"/>
      <c r="R912" s="17"/>
    </row>
    <row r="913">
      <c r="A913" s="18"/>
      <c r="B913" s="17"/>
      <c r="C913" s="17"/>
      <c r="D913" s="17"/>
      <c r="E913" s="17"/>
      <c r="F913" s="17"/>
      <c r="G913" s="17"/>
      <c r="M913" s="17"/>
      <c r="N913" s="17"/>
      <c r="O913" s="17"/>
      <c r="P913" s="17"/>
      <c r="Q913" s="17"/>
      <c r="R913" s="17"/>
    </row>
    <row r="914">
      <c r="A914" s="18"/>
      <c r="B914" s="17"/>
      <c r="C914" s="17"/>
      <c r="D914" s="17"/>
      <c r="E914" s="17"/>
      <c r="F914" s="17"/>
      <c r="G914" s="17"/>
      <c r="M914" s="17"/>
      <c r="N914" s="17"/>
      <c r="O914" s="17"/>
      <c r="P914" s="17"/>
      <c r="Q914" s="17"/>
      <c r="R914" s="17"/>
    </row>
    <row r="915">
      <c r="A915" s="18"/>
      <c r="B915" s="17"/>
      <c r="C915" s="17"/>
      <c r="D915" s="17"/>
      <c r="E915" s="17"/>
      <c r="F915" s="17"/>
      <c r="G915" s="17"/>
      <c r="M915" s="17"/>
      <c r="N915" s="17"/>
      <c r="O915" s="17"/>
      <c r="P915" s="17"/>
      <c r="Q915" s="17"/>
      <c r="R915" s="17"/>
    </row>
    <row r="916">
      <c r="A916" s="18"/>
      <c r="B916" s="17"/>
      <c r="C916" s="17"/>
      <c r="D916" s="17"/>
      <c r="E916" s="17"/>
      <c r="F916" s="17"/>
      <c r="G916" s="17"/>
      <c r="M916" s="17"/>
      <c r="N916" s="17"/>
      <c r="O916" s="17"/>
      <c r="P916" s="17"/>
      <c r="Q916" s="17"/>
      <c r="R916" s="17"/>
    </row>
    <row r="917">
      <c r="A917" s="18"/>
      <c r="B917" s="17"/>
      <c r="C917" s="17"/>
      <c r="D917" s="17"/>
      <c r="E917" s="17"/>
      <c r="F917" s="17"/>
      <c r="G917" s="17"/>
      <c r="M917" s="17"/>
      <c r="N917" s="17"/>
      <c r="O917" s="17"/>
      <c r="P917" s="17"/>
      <c r="Q917" s="17"/>
      <c r="R917" s="17"/>
    </row>
    <row r="918">
      <c r="A918" s="18"/>
      <c r="B918" s="17"/>
      <c r="C918" s="17"/>
      <c r="D918" s="17"/>
      <c r="E918" s="17"/>
      <c r="F918" s="17"/>
      <c r="G918" s="17"/>
      <c r="M918" s="17"/>
      <c r="N918" s="17"/>
      <c r="O918" s="17"/>
      <c r="P918" s="17"/>
      <c r="Q918" s="17"/>
      <c r="R918" s="17"/>
    </row>
    <row r="919">
      <c r="A919" s="18"/>
      <c r="B919" s="17"/>
      <c r="C919" s="17"/>
      <c r="D919" s="17"/>
      <c r="E919" s="17"/>
      <c r="F919" s="17"/>
      <c r="G919" s="17"/>
      <c r="M919" s="17"/>
      <c r="N919" s="17"/>
      <c r="O919" s="17"/>
      <c r="P919" s="17"/>
      <c r="Q919" s="17"/>
      <c r="R919" s="17"/>
    </row>
    <row r="920">
      <c r="A920" s="18"/>
      <c r="B920" s="17"/>
      <c r="C920" s="17"/>
      <c r="D920" s="17"/>
      <c r="E920" s="17"/>
      <c r="F920" s="17"/>
      <c r="G920" s="17"/>
      <c r="M920" s="17"/>
      <c r="N920" s="17"/>
      <c r="O920" s="17"/>
      <c r="P920" s="17"/>
      <c r="Q920" s="17"/>
      <c r="R920" s="17"/>
    </row>
    <row r="921">
      <c r="A921" s="18"/>
      <c r="B921" s="17"/>
      <c r="C921" s="17"/>
      <c r="D921" s="17"/>
      <c r="E921" s="17"/>
      <c r="F921" s="17"/>
      <c r="G921" s="17"/>
      <c r="M921" s="17"/>
      <c r="N921" s="17"/>
      <c r="O921" s="17"/>
      <c r="P921" s="17"/>
      <c r="Q921" s="17"/>
      <c r="R921" s="17"/>
    </row>
    <row r="922">
      <c r="A922" s="18"/>
      <c r="B922" s="17"/>
      <c r="C922" s="17"/>
      <c r="D922" s="17"/>
      <c r="E922" s="17"/>
      <c r="F922" s="17"/>
      <c r="G922" s="17"/>
      <c r="M922" s="17"/>
      <c r="N922" s="17"/>
      <c r="O922" s="17"/>
      <c r="P922" s="17"/>
      <c r="Q922" s="17"/>
      <c r="R922" s="17"/>
    </row>
    <row r="923">
      <c r="A923" s="18"/>
      <c r="B923" s="17"/>
      <c r="C923" s="17"/>
      <c r="D923" s="17"/>
      <c r="E923" s="17"/>
      <c r="F923" s="17"/>
      <c r="G923" s="17"/>
      <c r="M923" s="17"/>
      <c r="N923" s="17"/>
      <c r="O923" s="17"/>
      <c r="P923" s="17"/>
      <c r="Q923" s="17"/>
      <c r="R923" s="17"/>
    </row>
    <row r="924">
      <c r="A924" s="18"/>
      <c r="B924" s="17"/>
      <c r="C924" s="17"/>
      <c r="D924" s="17"/>
      <c r="E924" s="17"/>
      <c r="F924" s="17"/>
      <c r="G924" s="17"/>
      <c r="M924" s="17"/>
      <c r="N924" s="17"/>
      <c r="O924" s="17"/>
      <c r="P924" s="17"/>
      <c r="Q924" s="17"/>
      <c r="R924" s="17"/>
    </row>
    <row r="925">
      <c r="A925" s="18"/>
      <c r="B925" s="17"/>
      <c r="C925" s="17"/>
      <c r="D925" s="17"/>
      <c r="E925" s="17"/>
      <c r="F925" s="17"/>
      <c r="G925" s="17"/>
      <c r="M925" s="17"/>
      <c r="N925" s="17"/>
      <c r="O925" s="17"/>
      <c r="P925" s="17"/>
      <c r="Q925" s="17"/>
      <c r="R925" s="17"/>
    </row>
    <row r="926">
      <c r="A926" s="18"/>
      <c r="B926" s="17"/>
      <c r="C926" s="17"/>
      <c r="D926" s="17"/>
      <c r="E926" s="17"/>
      <c r="F926" s="17"/>
      <c r="G926" s="17"/>
      <c r="M926" s="17"/>
      <c r="N926" s="17"/>
      <c r="O926" s="17"/>
      <c r="P926" s="17"/>
      <c r="Q926" s="17"/>
      <c r="R926" s="17"/>
    </row>
    <row r="927">
      <c r="A927" s="18"/>
      <c r="B927" s="17"/>
      <c r="C927" s="17"/>
      <c r="D927" s="17"/>
      <c r="E927" s="17"/>
      <c r="F927" s="17"/>
      <c r="G927" s="17"/>
      <c r="M927" s="17"/>
      <c r="N927" s="17"/>
      <c r="O927" s="17"/>
      <c r="P927" s="17"/>
      <c r="Q927" s="17"/>
      <c r="R927" s="17"/>
    </row>
    <row r="928">
      <c r="A928" s="18"/>
      <c r="B928" s="17"/>
      <c r="C928" s="17"/>
      <c r="D928" s="17"/>
      <c r="E928" s="17"/>
      <c r="F928" s="17"/>
      <c r="G928" s="17"/>
      <c r="M928" s="17"/>
      <c r="N928" s="17"/>
      <c r="O928" s="17"/>
      <c r="P928" s="17"/>
      <c r="Q928" s="17"/>
      <c r="R928" s="17"/>
    </row>
    <row r="929">
      <c r="A929" s="18"/>
      <c r="B929" s="17"/>
      <c r="C929" s="17"/>
      <c r="D929" s="17"/>
      <c r="E929" s="17"/>
      <c r="F929" s="17"/>
      <c r="G929" s="17"/>
      <c r="M929" s="17"/>
      <c r="N929" s="17"/>
      <c r="O929" s="17"/>
      <c r="P929" s="17"/>
      <c r="Q929" s="17"/>
      <c r="R929" s="17"/>
    </row>
    <row r="930">
      <c r="A930" s="18"/>
      <c r="B930" s="17"/>
      <c r="C930" s="17"/>
      <c r="D930" s="17"/>
      <c r="E930" s="17"/>
      <c r="F930" s="17"/>
      <c r="G930" s="17"/>
      <c r="M930" s="17"/>
      <c r="N930" s="17"/>
      <c r="O930" s="17"/>
      <c r="P930" s="17"/>
      <c r="Q930" s="17"/>
      <c r="R930" s="17"/>
    </row>
    <row r="931">
      <c r="A931" s="18"/>
      <c r="B931" s="17"/>
      <c r="C931" s="17"/>
      <c r="D931" s="17"/>
      <c r="E931" s="17"/>
      <c r="F931" s="17"/>
      <c r="G931" s="17"/>
      <c r="M931" s="17"/>
      <c r="N931" s="17"/>
      <c r="O931" s="17"/>
      <c r="P931" s="17"/>
      <c r="Q931" s="17"/>
      <c r="R931" s="17"/>
    </row>
    <row r="932">
      <c r="A932" s="18"/>
      <c r="B932" s="17"/>
      <c r="C932" s="17"/>
      <c r="D932" s="17"/>
      <c r="E932" s="17"/>
      <c r="F932" s="17"/>
      <c r="G932" s="17"/>
      <c r="M932" s="17"/>
      <c r="N932" s="17"/>
      <c r="O932" s="17"/>
      <c r="P932" s="17"/>
      <c r="Q932" s="17"/>
      <c r="R932" s="17"/>
    </row>
    <row r="933">
      <c r="A933" s="18"/>
      <c r="B933" s="17"/>
      <c r="C933" s="17"/>
      <c r="D933" s="17"/>
      <c r="E933" s="17"/>
      <c r="F933" s="17"/>
      <c r="G933" s="17"/>
      <c r="M933" s="17"/>
      <c r="N933" s="17"/>
      <c r="O933" s="17"/>
      <c r="P933" s="17"/>
      <c r="Q933" s="17"/>
      <c r="R933" s="17"/>
    </row>
    <row r="934">
      <c r="A934" s="18"/>
      <c r="B934" s="17"/>
      <c r="C934" s="17"/>
      <c r="D934" s="17"/>
      <c r="E934" s="17"/>
      <c r="F934" s="17"/>
      <c r="G934" s="17"/>
      <c r="M934" s="17"/>
      <c r="N934" s="17"/>
      <c r="O934" s="17"/>
      <c r="P934" s="17"/>
      <c r="Q934" s="17"/>
      <c r="R934" s="17"/>
    </row>
    <row r="935">
      <c r="A935" s="18"/>
      <c r="B935" s="17"/>
      <c r="C935" s="17"/>
      <c r="D935" s="17"/>
      <c r="E935" s="17"/>
      <c r="F935" s="17"/>
      <c r="G935" s="17"/>
      <c r="M935" s="17"/>
      <c r="N935" s="17"/>
      <c r="O935" s="17"/>
      <c r="P935" s="17"/>
      <c r="Q935" s="17"/>
      <c r="R935" s="17"/>
    </row>
    <row r="936">
      <c r="A936" s="18"/>
      <c r="B936" s="17"/>
      <c r="C936" s="17"/>
      <c r="D936" s="17"/>
      <c r="E936" s="17"/>
      <c r="F936" s="17"/>
      <c r="G936" s="17"/>
      <c r="M936" s="17"/>
      <c r="N936" s="17"/>
      <c r="O936" s="17"/>
      <c r="P936" s="17"/>
      <c r="Q936" s="17"/>
      <c r="R936" s="17"/>
    </row>
    <row r="937">
      <c r="A937" s="18"/>
      <c r="B937" s="17"/>
      <c r="C937" s="17"/>
      <c r="D937" s="17"/>
      <c r="E937" s="17"/>
      <c r="F937" s="17"/>
      <c r="G937" s="17"/>
      <c r="M937" s="17"/>
      <c r="N937" s="17"/>
      <c r="O937" s="17"/>
      <c r="P937" s="17"/>
      <c r="Q937" s="17"/>
      <c r="R937" s="17"/>
    </row>
    <row r="938">
      <c r="A938" s="18"/>
      <c r="B938" s="17"/>
      <c r="C938" s="17"/>
      <c r="D938" s="17"/>
      <c r="E938" s="17"/>
      <c r="F938" s="17"/>
      <c r="G938" s="17"/>
      <c r="M938" s="17"/>
      <c r="N938" s="17"/>
      <c r="O938" s="17"/>
      <c r="P938" s="17"/>
      <c r="Q938" s="17"/>
      <c r="R938" s="17"/>
    </row>
    <row r="939">
      <c r="A939" s="18"/>
      <c r="B939" s="17"/>
      <c r="C939" s="17"/>
      <c r="D939" s="17"/>
      <c r="E939" s="17"/>
      <c r="F939" s="17"/>
      <c r="G939" s="17"/>
      <c r="M939" s="17"/>
      <c r="N939" s="17"/>
      <c r="O939" s="17"/>
      <c r="P939" s="17"/>
      <c r="Q939" s="17"/>
      <c r="R939" s="17"/>
    </row>
    <row r="940">
      <c r="A940" s="18"/>
      <c r="B940" s="17"/>
      <c r="C940" s="17"/>
      <c r="D940" s="17"/>
      <c r="E940" s="17"/>
      <c r="F940" s="17"/>
      <c r="G940" s="17"/>
      <c r="M940" s="17"/>
      <c r="N940" s="17"/>
      <c r="O940" s="17"/>
      <c r="P940" s="17"/>
      <c r="Q940" s="17"/>
      <c r="R940" s="17"/>
    </row>
    <row r="941">
      <c r="A941" s="18"/>
      <c r="B941" s="17"/>
      <c r="C941" s="17"/>
      <c r="D941" s="17"/>
      <c r="E941" s="17"/>
      <c r="F941" s="17"/>
      <c r="G941" s="17"/>
      <c r="M941" s="17"/>
      <c r="N941" s="17"/>
      <c r="O941" s="17"/>
      <c r="P941" s="17"/>
      <c r="Q941" s="17"/>
      <c r="R941" s="17"/>
    </row>
    <row r="942">
      <c r="A942" s="18"/>
      <c r="B942" s="17"/>
      <c r="C942" s="17"/>
      <c r="D942" s="17"/>
      <c r="E942" s="17"/>
      <c r="F942" s="17"/>
      <c r="G942" s="17"/>
      <c r="M942" s="17"/>
      <c r="N942" s="17"/>
      <c r="O942" s="17"/>
      <c r="P942" s="17"/>
      <c r="Q942" s="17"/>
      <c r="R942" s="17"/>
    </row>
    <row r="943">
      <c r="A943" s="18"/>
      <c r="B943" s="17"/>
      <c r="C943" s="17"/>
      <c r="D943" s="17"/>
      <c r="E943" s="17"/>
      <c r="F943" s="17"/>
      <c r="G943" s="17"/>
      <c r="M943" s="17"/>
      <c r="N943" s="17"/>
      <c r="O943" s="17"/>
      <c r="P943" s="17"/>
      <c r="Q943" s="17"/>
      <c r="R943" s="17"/>
    </row>
    <row r="944">
      <c r="A944" s="18"/>
      <c r="B944" s="17"/>
      <c r="C944" s="17"/>
      <c r="D944" s="17"/>
      <c r="E944" s="17"/>
      <c r="F944" s="17"/>
      <c r="G944" s="17"/>
      <c r="M944" s="17"/>
      <c r="N944" s="17"/>
      <c r="O944" s="17"/>
      <c r="P944" s="17"/>
      <c r="Q944" s="17"/>
      <c r="R944" s="17"/>
    </row>
    <row r="945">
      <c r="A945" s="18"/>
      <c r="B945" s="17"/>
      <c r="C945" s="17"/>
      <c r="D945" s="17"/>
      <c r="E945" s="17"/>
      <c r="F945" s="17"/>
      <c r="G945" s="17"/>
      <c r="M945" s="17"/>
      <c r="N945" s="17"/>
      <c r="O945" s="17"/>
      <c r="P945" s="17"/>
      <c r="Q945" s="17"/>
      <c r="R945" s="17"/>
    </row>
    <row r="946">
      <c r="A946" s="18"/>
      <c r="B946" s="17"/>
      <c r="C946" s="17"/>
      <c r="D946" s="17"/>
      <c r="E946" s="17"/>
      <c r="F946" s="17"/>
      <c r="G946" s="17"/>
      <c r="M946" s="17"/>
      <c r="N946" s="17"/>
      <c r="O946" s="17"/>
      <c r="P946" s="17"/>
      <c r="Q946" s="17"/>
      <c r="R946" s="17"/>
    </row>
    <row r="947">
      <c r="A947" s="18"/>
      <c r="B947" s="17"/>
      <c r="C947" s="17"/>
      <c r="D947" s="17"/>
      <c r="E947" s="17"/>
      <c r="F947" s="17"/>
      <c r="G947" s="17"/>
      <c r="M947" s="17"/>
      <c r="N947" s="17"/>
      <c r="O947" s="17"/>
      <c r="P947" s="17"/>
      <c r="Q947" s="17"/>
      <c r="R947" s="17"/>
    </row>
    <row r="948">
      <c r="A948" s="18"/>
      <c r="B948" s="17"/>
      <c r="C948" s="17"/>
      <c r="D948" s="17"/>
      <c r="E948" s="17"/>
      <c r="F948" s="17"/>
      <c r="G948" s="17"/>
      <c r="M948" s="17"/>
      <c r="N948" s="17"/>
      <c r="O948" s="17"/>
      <c r="P948" s="17"/>
      <c r="Q948" s="17"/>
      <c r="R948" s="17"/>
    </row>
    <row r="949">
      <c r="A949" s="18"/>
      <c r="B949" s="17"/>
      <c r="C949" s="17"/>
      <c r="D949" s="17"/>
      <c r="E949" s="17"/>
      <c r="F949" s="17"/>
      <c r="G949" s="17"/>
      <c r="M949" s="17"/>
      <c r="N949" s="17"/>
      <c r="O949" s="17"/>
      <c r="P949" s="17"/>
      <c r="Q949" s="17"/>
      <c r="R949" s="17"/>
    </row>
    <row r="950">
      <c r="A950" s="18"/>
      <c r="B950" s="17"/>
      <c r="C950" s="17"/>
      <c r="D950" s="17"/>
      <c r="E950" s="17"/>
      <c r="F950" s="17"/>
      <c r="G950" s="17"/>
      <c r="M950" s="17"/>
      <c r="N950" s="17"/>
      <c r="O950" s="17"/>
      <c r="P950" s="17"/>
      <c r="Q950" s="17"/>
      <c r="R950" s="17"/>
    </row>
    <row r="951">
      <c r="A951" s="18"/>
      <c r="B951" s="17"/>
      <c r="C951" s="17"/>
      <c r="D951" s="17"/>
      <c r="E951" s="17"/>
      <c r="F951" s="17"/>
      <c r="G951" s="17"/>
      <c r="M951" s="17"/>
      <c r="N951" s="17"/>
      <c r="O951" s="17"/>
      <c r="P951" s="17"/>
      <c r="Q951" s="17"/>
      <c r="R951" s="17"/>
    </row>
    <row r="952">
      <c r="A952" s="18"/>
      <c r="B952" s="17"/>
      <c r="C952" s="17"/>
      <c r="D952" s="17"/>
      <c r="E952" s="17"/>
      <c r="F952" s="17"/>
      <c r="G952" s="17"/>
      <c r="M952" s="17"/>
      <c r="N952" s="17"/>
      <c r="O952" s="17"/>
      <c r="P952" s="17"/>
      <c r="Q952" s="17"/>
      <c r="R952" s="17"/>
    </row>
    <row r="953">
      <c r="A953" s="18"/>
      <c r="B953" s="17"/>
      <c r="C953" s="17"/>
      <c r="D953" s="17"/>
      <c r="E953" s="17"/>
      <c r="F953" s="17"/>
      <c r="G953" s="17"/>
      <c r="M953" s="17"/>
      <c r="N953" s="17"/>
      <c r="O953" s="17"/>
      <c r="P953" s="17"/>
      <c r="Q953" s="17"/>
      <c r="R953" s="17"/>
    </row>
    <row r="954">
      <c r="A954" s="18"/>
      <c r="B954" s="17"/>
      <c r="C954" s="17"/>
      <c r="D954" s="17"/>
      <c r="E954" s="17"/>
      <c r="F954" s="17"/>
      <c r="G954" s="17"/>
      <c r="M954" s="17"/>
      <c r="N954" s="17"/>
      <c r="O954" s="17"/>
      <c r="P954" s="17"/>
      <c r="Q954" s="17"/>
      <c r="R954" s="17"/>
    </row>
    <row r="955">
      <c r="A955" s="18"/>
      <c r="B955" s="17"/>
      <c r="C955" s="17"/>
      <c r="D955" s="17"/>
      <c r="E955" s="17"/>
      <c r="F955" s="17"/>
      <c r="G955" s="17"/>
      <c r="M955" s="17"/>
      <c r="N955" s="17"/>
      <c r="O955" s="17"/>
      <c r="P955" s="17"/>
      <c r="Q955" s="17"/>
      <c r="R955" s="17"/>
    </row>
    <row r="956">
      <c r="A956" s="18"/>
      <c r="B956" s="17"/>
      <c r="C956" s="17"/>
      <c r="D956" s="17"/>
      <c r="E956" s="17"/>
      <c r="F956" s="17"/>
      <c r="G956" s="17"/>
      <c r="M956" s="17"/>
      <c r="N956" s="17"/>
      <c r="O956" s="17"/>
      <c r="P956" s="17"/>
      <c r="Q956" s="17"/>
      <c r="R956" s="17"/>
    </row>
    <row r="957">
      <c r="A957" s="18"/>
      <c r="B957" s="17"/>
      <c r="C957" s="17"/>
      <c r="D957" s="17"/>
      <c r="E957" s="17"/>
      <c r="F957" s="17"/>
      <c r="G957" s="17"/>
      <c r="M957" s="17"/>
      <c r="N957" s="17"/>
      <c r="O957" s="17"/>
      <c r="P957" s="17"/>
      <c r="Q957" s="17"/>
      <c r="R957" s="17"/>
    </row>
    <row r="958">
      <c r="A958" s="18"/>
      <c r="B958" s="17"/>
      <c r="C958" s="17"/>
      <c r="D958" s="17"/>
      <c r="E958" s="17"/>
      <c r="F958" s="17"/>
      <c r="G958" s="17"/>
      <c r="M958" s="17"/>
      <c r="N958" s="17"/>
      <c r="O958" s="17"/>
      <c r="P958" s="17"/>
      <c r="Q958" s="17"/>
      <c r="R958" s="17"/>
    </row>
    <row r="959">
      <c r="A959" s="18"/>
      <c r="B959" s="17"/>
      <c r="C959" s="17"/>
      <c r="D959" s="17"/>
      <c r="E959" s="17"/>
      <c r="F959" s="17"/>
      <c r="G959" s="17"/>
      <c r="M959" s="17"/>
      <c r="N959" s="17"/>
      <c r="O959" s="17"/>
      <c r="P959" s="17"/>
      <c r="Q959" s="17"/>
      <c r="R959" s="17"/>
    </row>
    <row r="960">
      <c r="A960" s="18"/>
      <c r="B960" s="17"/>
      <c r="C960" s="17"/>
      <c r="D960" s="17"/>
      <c r="E960" s="17"/>
      <c r="F960" s="17"/>
      <c r="G960" s="17"/>
      <c r="M960" s="17"/>
      <c r="N960" s="17"/>
      <c r="O960" s="17"/>
      <c r="P960" s="17"/>
      <c r="Q960" s="17"/>
      <c r="R960" s="17"/>
    </row>
    <row r="961">
      <c r="A961" s="18"/>
      <c r="B961" s="17"/>
      <c r="C961" s="17"/>
      <c r="D961" s="17"/>
      <c r="E961" s="17"/>
      <c r="F961" s="17"/>
      <c r="G961" s="17"/>
      <c r="M961" s="17"/>
      <c r="N961" s="17"/>
      <c r="O961" s="17"/>
      <c r="P961" s="17"/>
      <c r="Q961" s="17"/>
      <c r="R961" s="17"/>
    </row>
    <row r="962">
      <c r="A962" s="18"/>
      <c r="B962" s="17"/>
      <c r="C962" s="17"/>
      <c r="D962" s="17"/>
      <c r="E962" s="17"/>
      <c r="F962" s="17"/>
      <c r="G962" s="17"/>
      <c r="M962" s="17"/>
      <c r="N962" s="17"/>
      <c r="O962" s="17"/>
      <c r="P962" s="17"/>
      <c r="Q962" s="17"/>
      <c r="R962" s="17"/>
    </row>
    <row r="963">
      <c r="A963" s="18"/>
      <c r="B963" s="17"/>
      <c r="C963" s="17"/>
      <c r="D963" s="17"/>
      <c r="E963" s="17"/>
      <c r="F963" s="17"/>
      <c r="G963" s="17"/>
      <c r="M963" s="17"/>
      <c r="N963" s="17"/>
      <c r="O963" s="17"/>
      <c r="P963" s="17"/>
      <c r="Q963" s="17"/>
      <c r="R963" s="17"/>
    </row>
    <row r="964">
      <c r="A964" s="18"/>
      <c r="B964" s="17"/>
      <c r="C964" s="17"/>
      <c r="D964" s="17"/>
      <c r="E964" s="17"/>
      <c r="F964" s="17"/>
      <c r="G964" s="17"/>
      <c r="M964" s="17"/>
      <c r="N964" s="17"/>
      <c r="O964" s="17"/>
      <c r="P964" s="17"/>
      <c r="Q964" s="17"/>
      <c r="R964" s="17"/>
    </row>
    <row r="965">
      <c r="A965" s="18"/>
      <c r="B965" s="17"/>
      <c r="C965" s="17"/>
      <c r="D965" s="17"/>
      <c r="E965" s="17"/>
      <c r="F965" s="17"/>
      <c r="G965" s="17"/>
      <c r="M965" s="17"/>
      <c r="N965" s="17"/>
      <c r="O965" s="17"/>
      <c r="P965" s="17"/>
      <c r="Q965" s="17"/>
      <c r="R965" s="17"/>
    </row>
    <row r="966">
      <c r="A966" s="18"/>
      <c r="B966" s="17"/>
      <c r="C966" s="17"/>
      <c r="D966" s="17"/>
      <c r="E966" s="17"/>
      <c r="F966" s="17"/>
      <c r="G966" s="17"/>
      <c r="M966" s="17"/>
      <c r="N966" s="17"/>
      <c r="O966" s="17"/>
      <c r="P966" s="17"/>
      <c r="Q966" s="17"/>
      <c r="R966" s="17"/>
    </row>
    <row r="967">
      <c r="A967" s="18"/>
      <c r="B967" s="17"/>
      <c r="C967" s="17"/>
      <c r="D967" s="17"/>
      <c r="E967" s="17"/>
      <c r="F967" s="17"/>
      <c r="G967" s="17"/>
      <c r="M967" s="17"/>
      <c r="N967" s="17"/>
      <c r="O967" s="17"/>
      <c r="P967" s="17"/>
      <c r="Q967" s="17"/>
      <c r="R967" s="17"/>
    </row>
    <row r="968">
      <c r="A968" s="18"/>
      <c r="B968" s="17"/>
      <c r="C968" s="17"/>
      <c r="D968" s="17"/>
      <c r="E968" s="17"/>
      <c r="F968" s="17"/>
      <c r="G968" s="17"/>
      <c r="M968" s="17"/>
      <c r="N968" s="17"/>
      <c r="O968" s="17"/>
      <c r="P968" s="17"/>
      <c r="Q968" s="17"/>
      <c r="R968" s="17"/>
    </row>
    <row r="969">
      <c r="A969" s="18"/>
      <c r="B969" s="17"/>
      <c r="C969" s="17"/>
      <c r="D969" s="17"/>
      <c r="E969" s="17"/>
      <c r="F969" s="17"/>
      <c r="G969" s="17"/>
      <c r="M969" s="17"/>
      <c r="N969" s="17"/>
      <c r="O969" s="17"/>
      <c r="P969" s="17"/>
      <c r="Q969" s="17"/>
      <c r="R969" s="17"/>
    </row>
    <row r="970">
      <c r="A970" s="18"/>
      <c r="B970" s="17"/>
      <c r="C970" s="17"/>
      <c r="D970" s="17"/>
      <c r="E970" s="17"/>
      <c r="F970" s="17"/>
      <c r="G970" s="17"/>
      <c r="M970" s="17"/>
      <c r="N970" s="17"/>
      <c r="O970" s="17"/>
      <c r="P970" s="17"/>
      <c r="Q970" s="17"/>
      <c r="R970" s="17"/>
    </row>
    <row r="971">
      <c r="A971" s="18"/>
      <c r="B971" s="17"/>
      <c r="C971" s="17"/>
      <c r="D971" s="17"/>
      <c r="E971" s="17"/>
      <c r="F971" s="17"/>
      <c r="G971" s="17"/>
      <c r="M971" s="17"/>
      <c r="N971" s="17"/>
      <c r="O971" s="17"/>
      <c r="P971" s="17"/>
      <c r="Q971" s="17"/>
      <c r="R971" s="17"/>
    </row>
    <row r="972">
      <c r="A972" s="18"/>
      <c r="B972" s="17"/>
      <c r="C972" s="17"/>
      <c r="D972" s="17"/>
      <c r="E972" s="17"/>
      <c r="F972" s="17"/>
      <c r="G972" s="17"/>
      <c r="M972" s="17"/>
      <c r="N972" s="17"/>
      <c r="O972" s="17"/>
      <c r="P972" s="17"/>
      <c r="Q972" s="17"/>
      <c r="R972" s="17"/>
    </row>
    <row r="973">
      <c r="A973" s="18"/>
      <c r="B973" s="17"/>
      <c r="C973" s="17"/>
      <c r="D973" s="17"/>
      <c r="E973" s="17"/>
      <c r="F973" s="17"/>
      <c r="G973" s="17"/>
      <c r="M973" s="17"/>
      <c r="N973" s="17"/>
      <c r="O973" s="17"/>
      <c r="P973" s="17"/>
      <c r="Q973" s="17"/>
      <c r="R973" s="17"/>
    </row>
    <row r="974">
      <c r="A974" s="18"/>
      <c r="B974" s="17"/>
      <c r="C974" s="17"/>
      <c r="D974" s="17"/>
      <c r="E974" s="17"/>
      <c r="F974" s="17"/>
      <c r="G974" s="17"/>
      <c r="M974" s="17"/>
      <c r="N974" s="17"/>
      <c r="O974" s="17"/>
      <c r="P974" s="17"/>
      <c r="Q974" s="17"/>
      <c r="R974" s="17"/>
    </row>
    <row r="975">
      <c r="A975" s="18"/>
      <c r="B975" s="17"/>
      <c r="C975" s="17"/>
      <c r="D975" s="17"/>
      <c r="E975" s="17"/>
      <c r="F975" s="17"/>
      <c r="G975" s="17"/>
      <c r="M975" s="17"/>
      <c r="N975" s="17"/>
      <c r="O975" s="17"/>
      <c r="P975" s="17"/>
      <c r="Q975" s="17"/>
      <c r="R975" s="17"/>
    </row>
    <row r="976">
      <c r="A976" s="18"/>
      <c r="B976" s="17"/>
      <c r="C976" s="17"/>
      <c r="D976" s="17"/>
      <c r="E976" s="17"/>
      <c r="F976" s="17"/>
      <c r="G976" s="17"/>
      <c r="M976" s="17"/>
      <c r="N976" s="17"/>
      <c r="O976" s="17"/>
      <c r="P976" s="17"/>
      <c r="Q976" s="17"/>
      <c r="R976" s="17"/>
    </row>
    <row r="977">
      <c r="A977" s="18"/>
      <c r="B977" s="17"/>
      <c r="C977" s="17"/>
      <c r="D977" s="17"/>
      <c r="E977" s="17"/>
      <c r="F977" s="17"/>
      <c r="G977" s="17"/>
      <c r="M977" s="17"/>
      <c r="N977" s="17"/>
      <c r="O977" s="17"/>
      <c r="P977" s="17"/>
      <c r="Q977" s="17"/>
      <c r="R977" s="17"/>
    </row>
    <row r="978">
      <c r="A978" s="18"/>
      <c r="B978" s="17"/>
      <c r="C978" s="17"/>
      <c r="D978" s="17"/>
      <c r="E978" s="17"/>
      <c r="F978" s="17"/>
      <c r="G978" s="17"/>
      <c r="M978" s="17"/>
      <c r="N978" s="17"/>
      <c r="O978" s="17"/>
      <c r="P978" s="17"/>
      <c r="Q978" s="17"/>
      <c r="R978" s="17"/>
    </row>
    <row r="979">
      <c r="A979" s="18"/>
      <c r="B979" s="17"/>
      <c r="C979" s="17"/>
      <c r="D979" s="17"/>
      <c r="E979" s="17"/>
      <c r="F979" s="17"/>
      <c r="G979" s="17"/>
      <c r="M979" s="17"/>
      <c r="N979" s="17"/>
      <c r="O979" s="17"/>
      <c r="P979" s="17"/>
      <c r="Q979" s="17"/>
      <c r="R979" s="17"/>
    </row>
    <row r="980">
      <c r="A980" s="18"/>
      <c r="B980" s="17"/>
      <c r="C980" s="17"/>
      <c r="D980" s="17"/>
      <c r="E980" s="17"/>
      <c r="F980" s="17"/>
      <c r="G980" s="17"/>
      <c r="M980" s="17"/>
      <c r="N980" s="17"/>
      <c r="O980" s="17"/>
      <c r="P980" s="17"/>
      <c r="Q980" s="17"/>
      <c r="R980" s="17"/>
    </row>
    <row r="981">
      <c r="A981" s="18"/>
      <c r="B981" s="17"/>
      <c r="C981" s="17"/>
      <c r="D981" s="17"/>
      <c r="E981" s="17"/>
      <c r="F981" s="17"/>
      <c r="G981" s="17"/>
      <c r="M981" s="17"/>
      <c r="N981" s="17"/>
      <c r="O981" s="17"/>
      <c r="P981" s="17"/>
      <c r="Q981" s="17"/>
      <c r="R981" s="17"/>
    </row>
    <row r="982">
      <c r="A982" s="18"/>
      <c r="B982" s="17"/>
      <c r="C982" s="17"/>
      <c r="D982" s="17"/>
      <c r="E982" s="17"/>
      <c r="F982" s="17"/>
      <c r="G982" s="17"/>
      <c r="M982" s="17"/>
      <c r="N982" s="17"/>
      <c r="O982" s="17"/>
      <c r="P982" s="17"/>
      <c r="Q982" s="17"/>
      <c r="R982" s="17"/>
    </row>
    <row r="983">
      <c r="A983" s="18"/>
      <c r="B983" s="17"/>
      <c r="C983" s="17"/>
      <c r="D983" s="17"/>
      <c r="E983" s="17"/>
      <c r="F983" s="17"/>
      <c r="G983" s="17"/>
      <c r="M983" s="17"/>
      <c r="N983" s="17"/>
      <c r="O983" s="17"/>
      <c r="P983" s="17"/>
      <c r="Q983" s="17"/>
      <c r="R983" s="17"/>
    </row>
    <row r="984">
      <c r="A984" s="18"/>
      <c r="B984" s="17"/>
      <c r="C984" s="17"/>
      <c r="D984" s="17"/>
      <c r="E984" s="17"/>
      <c r="F984" s="17"/>
      <c r="G984" s="17"/>
      <c r="M984" s="17"/>
      <c r="N984" s="17"/>
      <c r="O984" s="17"/>
      <c r="P984" s="17"/>
      <c r="Q984" s="17"/>
      <c r="R984" s="17"/>
    </row>
    <row r="985">
      <c r="A985" s="18"/>
      <c r="B985" s="17"/>
      <c r="C985" s="17"/>
      <c r="D985" s="17"/>
      <c r="E985" s="17"/>
      <c r="F985" s="17"/>
      <c r="G985" s="17"/>
      <c r="M985" s="17"/>
      <c r="N985" s="17"/>
      <c r="O985" s="17"/>
      <c r="P985" s="17"/>
      <c r="Q985" s="17"/>
      <c r="R985" s="17"/>
    </row>
    <row r="986">
      <c r="A986" s="18"/>
      <c r="B986" s="17"/>
      <c r="C986" s="17"/>
      <c r="D986" s="17"/>
      <c r="E986" s="17"/>
      <c r="F986" s="17"/>
      <c r="G986" s="17"/>
      <c r="M986" s="17"/>
      <c r="N986" s="17"/>
      <c r="O986" s="17"/>
      <c r="P986" s="17"/>
      <c r="Q986" s="17"/>
      <c r="R986" s="17"/>
    </row>
    <row r="987">
      <c r="A987" s="18"/>
      <c r="B987" s="17"/>
      <c r="C987" s="17"/>
      <c r="D987" s="17"/>
      <c r="E987" s="17"/>
      <c r="F987" s="17"/>
      <c r="G987" s="17"/>
      <c r="M987" s="17"/>
      <c r="N987" s="17"/>
      <c r="O987" s="17"/>
      <c r="P987" s="17"/>
      <c r="Q987" s="17"/>
      <c r="R987" s="17"/>
    </row>
    <row r="988">
      <c r="A988" s="18"/>
      <c r="B988" s="17"/>
      <c r="C988" s="17"/>
      <c r="D988" s="17"/>
      <c r="E988" s="17"/>
      <c r="F988" s="17"/>
      <c r="G988" s="17"/>
      <c r="M988" s="17"/>
      <c r="N988" s="17"/>
      <c r="O988" s="17"/>
      <c r="P988" s="17"/>
      <c r="Q988" s="17"/>
      <c r="R988" s="17"/>
    </row>
    <row r="989">
      <c r="A989" s="18"/>
      <c r="B989" s="17"/>
      <c r="C989" s="17"/>
      <c r="D989" s="17"/>
      <c r="E989" s="17"/>
      <c r="F989" s="17"/>
      <c r="G989" s="17"/>
      <c r="M989" s="17"/>
      <c r="N989" s="17"/>
      <c r="O989" s="17"/>
      <c r="P989" s="17"/>
      <c r="Q989" s="17"/>
      <c r="R989" s="17"/>
    </row>
    <row r="990">
      <c r="A990" s="18"/>
      <c r="B990" s="17"/>
      <c r="C990" s="17"/>
      <c r="D990" s="17"/>
      <c r="E990" s="17"/>
      <c r="F990" s="17"/>
      <c r="G990" s="17"/>
      <c r="M990" s="17"/>
      <c r="N990" s="17"/>
      <c r="O990" s="17"/>
      <c r="P990" s="17"/>
      <c r="Q990" s="17"/>
      <c r="R990" s="17"/>
    </row>
    <row r="991">
      <c r="A991" s="18"/>
      <c r="B991" s="17"/>
      <c r="C991" s="17"/>
      <c r="D991" s="17"/>
      <c r="E991" s="17"/>
      <c r="F991" s="17"/>
      <c r="G991" s="17"/>
      <c r="M991" s="17"/>
      <c r="N991" s="17"/>
      <c r="O991" s="17"/>
      <c r="P991" s="17"/>
      <c r="Q991" s="17"/>
      <c r="R991" s="17"/>
    </row>
    <row r="992">
      <c r="A992" s="18"/>
      <c r="B992" s="17"/>
      <c r="C992" s="17"/>
      <c r="D992" s="17"/>
      <c r="E992" s="17"/>
      <c r="F992" s="17"/>
      <c r="G992" s="17"/>
      <c r="M992" s="17"/>
      <c r="N992" s="17"/>
      <c r="O992" s="17"/>
      <c r="P992" s="17"/>
      <c r="Q992" s="17"/>
      <c r="R992" s="17"/>
    </row>
    <row r="993">
      <c r="A993" s="18"/>
      <c r="B993" s="17"/>
      <c r="C993" s="17"/>
      <c r="D993" s="17"/>
      <c r="E993" s="17"/>
      <c r="F993" s="17"/>
      <c r="G993" s="17"/>
      <c r="M993" s="17"/>
      <c r="N993" s="17"/>
      <c r="O993" s="17"/>
      <c r="P993" s="17"/>
      <c r="Q993" s="17"/>
      <c r="R993" s="17"/>
    </row>
    <row r="994">
      <c r="A994" s="18"/>
      <c r="B994" s="17"/>
      <c r="C994" s="17"/>
      <c r="D994" s="17"/>
      <c r="E994" s="17"/>
      <c r="F994" s="17"/>
      <c r="G994" s="17"/>
      <c r="M994" s="17"/>
      <c r="N994" s="17"/>
      <c r="O994" s="17"/>
      <c r="P994" s="17"/>
      <c r="Q994" s="17"/>
      <c r="R994" s="17"/>
    </row>
    <row r="995">
      <c r="A995" s="18"/>
      <c r="B995" s="17"/>
      <c r="C995" s="17"/>
      <c r="D995" s="17"/>
      <c r="E995" s="17"/>
      <c r="F995" s="17"/>
      <c r="G995" s="17"/>
      <c r="M995" s="17"/>
      <c r="N995" s="17"/>
      <c r="O995" s="17"/>
      <c r="P995" s="17"/>
      <c r="Q995" s="17"/>
      <c r="R995" s="17"/>
    </row>
    <row r="996">
      <c r="A996" s="18"/>
      <c r="B996" s="17"/>
      <c r="C996" s="17"/>
      <c r="D996" s="17"/>
      <c r="E996" s="17"/>
      <c r="F996" s="17"/>
      <c r="G996" s="17"/>
      <c r="M996" s="17"/>
      <c r="N996" s="17"/>
      <c r="O996" s="17"/>
      <c r="P996" s="17"/>
      <c r="Q996" s="17"/>
      <c r="R996" s="17"/>
    </row>
    <row r="997">
      <c r="A997" s="18"/>
      <c r="B997" s="17"/>
      <c r="C997" s="17"/>
      <c r="D997" s="17"/>
      <c r="E997" s="17"/>
      <c r="F997" s="17"/>
      <c r="G997" s="17"/>
      <c r="M997" s="17"/>
      <c r="N997" s="17"/>
      <c r="O997" s="17"/>
      <c r="P997" s="17"/>
      <c r="Q997" s="17"/>
      <c r="R997" s="17"/>
    </row>
    <row r="998">
      <c r="A998" s="18"/>
      <c r="B998" s="17"/>
      <c r="C998" s="17"/>
      <c r="D998" s="17"/>
      <c r="E998" s="17"/>
      <c r="F998" s="17"/>
      <c r="G998" s="17"/>
      <c r="M998" s="17"/>
      <c r="N998" s="17"/>
      <c r="O998" s="17"/>
      <c r="P998" s="17"/>
      <c r="Q998" s="17"/>
      <c r="R998" s="17"/>
    </row>
    <row r="999">
      <c r="A999" s="18"/>
      <c r="B999" s="17"/>
      <c r="C999" s="17"/>
      <c r="D999" s="17"/>
      <c r="E999" s="17"/>
      <c r="F999" s="17"/>
      <c r="G999" s="17"/>
      <c r="M999" s="17"/>
      <c r="N999" s="17"/>
      <c r="O999" s="17"/>
      <c r="P999" s="17"/>
      <c r="Q999" s="17"/>
      <c r="R999" s="17"/>
    </row>
    <row r="1000">
      <c r="A1000" s="18"/>
      <c r="B1000" s="17"/>
      <c r="C1000" s="17"/>
      <c r="D1000" s="17"/>
      <c r="E1000" s="17"/>
      <c r="F1000" s="17"/>
      <c r="G1000" s="17"/>
      <c r="M1000" s="17"/>
      <c r="N1000" s="17"/>
      <c r="O1000" s="17"/>
      <c r="P1000" s="17"/>
      <c r="Q1000" s="17"/>
      <c r="R1000" s="17"/>
    </row>
    <row r="1001">
      <c r="A1001" s="18"/>
      <c r="B1001" s="17"/>
      <c r="C1001" s="17"/>
      <c r="D1001" s="17"/>
      <c r="E1001" s="17"/>
      <c r="F1001" s="17"/>
      <c r="G1001" s="17"/>
      <c r="M1001" s="17"/>
      <c r="N1001" s="17"/>
      <c r="O1001" s="17"/>
      <c r="P1001" s="17"/>
      <c r="Q1001" s="17"/>
      <c r="R1001" s="17"/>
    </row>
    <row r="1002">
      <c r="A1002" s="18"/>
      <c r="B1002" s="17"/>
      <c r="C1002" s="17"/>
      <c r="D1002" s="17"/>
      <c r="E1002" s="17"/>
      <c r="F1002" s="17"/>
      <c r="G1002" s="17"/>
      <c r="M1002" s="17"/>
      <c r="N1002" s="17"/>
      <c r="O1002" s="17"/>
      <c r="P1002" s="17"/>
      <c r="Q1002" s="17"/>
      <c r="R1002" s="17"/>
    </row>
    <row r="1003">
      <c r="A1003" s="18"/>
      <c r="B1003" s="17"/>
      <c r="C1003" s="17"/>
      <c r="D1003" s="17"/>
      <c r="E1003" s="17"/>
      <c r="F1003" s="17"/>
      <c r="G1003" s="17"/>
      <c r="M1003" s="17"/>
      <c r="N1003" s="17"/>
      <c r="O1003" s="17"/>
      <c r="P1003" s="17"/>
      <c r="Q1003" s="17"/>
      <c r="R1003" s="17"/>
    </row>
    <row r="1004">
      <c r="A1004" s="18"/>
      <c r="B1004" s="17"/>
      <c r="C1004" s="17"/>
      <c r="D1004" s="17"/>
      <c r="E1004" s="17"/>
      <c r="F1004" s="17"/>
      <c r="G1004" s="17"/>
      <c r="M1004" s="17"/>
      <c r="N1004" s="17"/>
      <c r="O1004" s="17"/>
      <c r="P1004" s="17"/>
      <c r="Q1004" s="17"/>
      <c r="R1004" s="17"/>
    </row>
    <row r="1005">
      <c r="A1005" s="18"/>
      <c r="B1005" s="17"/>
      <c r="C1005" s="17"/>
      <c r="D1005" s="17"/>
      <c r="E1005" s="17"/>
      <c r="F1005" s="17"/>
      <c r="G1005" s="17"/>
      <c r="M1005" s="17"/>
      <c r="N1005" s="17"/>
      <c r="O1005" s="17"/>
      <c r="P1005" s="17"/>
      <c r="Q1005" s="17"/>
      <c r="R1005" s="17"/>
    </row>
    <row r="1006">
      <c r="A1006" s="18"/>
      <c r="B1006" s="17"/>
      <c r="C1006" s="17"/>
      <c r="D1006" s="17"/>
      <c r="E1006" s="17"/>
      <c r="F1006" s="17"/>
      <c r="G1006" s="17"/>
      <c r="M1006" s="17"/>
      <c r="N1006" s="17"/>
      <c r="O1006" s="17"/>
      <c r="P1006" s="17"/>
      <c r="Q1006" s="17"/>
      <c r="R1006" s="17"/>
    </row>
    <row r="1007">
      <c r="A1007" s="18"/>
      <c r="B1007" s="17"/>
      <c r="C1007" s="17"/>
      <c r="D1007" s="17"/>
      <c r="E1007" s="17"/>
      <c r="F1007" s="17"/>
      <c r="G1007" s="17"/>
      <c r="M1007" s="17"/>
      <c r="N1007" s="17"/>
      <c r="O1007" s="17"/>
      <c r="P1007" s="17"/>
      <c r="Q1007" s="17"/>
      <c r="R1007" s="17"/>
    </row>
    <row r="1008">
      <c r="A1008" s="18"/>
      <c r="B1008" s="17"/>
      <c r="C1008" s="17"/>
      <c r="D1008" s="17"/>
      <c r="E1008" s="17"/>
      <c r="F1008" s="17"/>
      <c r="G1008" s="17"/>
      <c r="M1008" s="17"/>
      <c r="N1008" s="17"/>
      <c r="O1008" s="17"/>
      <c r="P1008" s="17"/>
      <c r="Q1008" s="17"/>
      <c r="R1008" s="17"/>
    </row>
    <row r="1009">
      <c r="A1009" s="18"/>
      <c r="B1009" s="17"/>
      <c r="C1009" s="17"/>
      <c r="D1009" s="17"/>
      <c r="E1009" s="17"/>
      <c r="F1009" s="17"/>
      <c r="G1009" s="17"/>
      <c r="M1009" s="17"/>
      <c r="N1009" s="17"/>
      <c r="O1009" s="17"/>
      <c r="P1009" s="17"/>
      <c r="Q1009" s="17"/>
      <c r="R1009" s="17"/>
    </row>
    <row r="1010">
      <c r="A1010" s="18"/>
      <c r="B1010" s="17"/>
      <c r="C1010" s="17"/>
      <c r="D1010" s="17"/>
      <c r="E1010" s="17"/>
      <c r="F1010" s="17"/>
      <c r="G1010" s="17"/>
      <c r="M1010" s="17"/>
      <c r="N1010" s="17"/>
      <c r="O1010" s="17"/>
      <c r="P1010" s="17"/>
      <c r="Q1010" s="17"/>
      <c r="R1010" s="17"/>
    </row>
    <row r="1011">
      <c r="A1011" s="18"/>
      <c r="B1011" s="17"/>
      <c r="C1011" s="17"/>
      <c r="D1011" s="17"/>
      <c r="E1011" s="17"/>
      <c r="F1011" s="17"/>
      <c r="G1011" s="17"/>
      <c r="M1011" s="17"/>
      <c r="N1011" s="17"/>
      <c r="O1011" s="17"/>
      <c r="P1011" s="17"/>
      <c r="Q1011" s="17"/>
      <c r="R1011" s="17"/>
    </row>
    <row r="1012">
      <c r="A1012" s="18"/>
      <c r="B1012" s="17"/>
      <c r="C1012" s="17"/>
      <c r="D1012" s="17"/>
      <c r="E1012" s="17"/>
      <c r="F1012" s="17"/>
      <c r="G1012" s="17"/>
      <c r="M1012" s="17"/>
      <c r="N1012" s="17"/>
      <c r="O1012" s="17"/>
      <c r="P1012" s="17"/>
      <c r="Q1012" s="17"/>
      <c r="R1012" s="17"/>
    </row>
    <row r="1013">
      <c r="A1013" s="18"/>
      <c r="B1013" s="17"/>
      <c r="C1013" s="17"/>
      <c r="D1013" s="17"/>
      <c r="E1013" s="17"/>
      <c r="F1013" s="17"/>
      <c r="G1013" s="17"/>
      <c r="M1013" s="17"/>
      <c r="N1013" s="17"/>
      <c r="O1013" s="17"/>
      <c r="P1013" s="17"/>
      <c r="Q1013" s="17"/>
      <c r="R1013" s="17"/>
    </row>
    <row r="1014">
      <c r="A1014" s="18"/>
      <c r="B1014" s="17"/>
      <c r="C1014" s="17"/>
      <c r="D1014" s="17"/>
      <c r="E1014" s="17"/>
      <c r="F1014" s="17"/>
      <c r="G1014" s="17"/>
      <c r="M1014" s="17"/>
      <c r="N1014" s="17"/>
      <c r="O1014" s="17"/>
      <c r="P1014" s="17"/>
      <c r="Q1014" s="17"/>
      <c r="R1014" s="17"/>
    </row>
    <row r="1015">
      <c r="A1015" s="18"/>
      <c r="B1015" s="17"/>
      <c r="C1015" s="17"/>
      <c r="D1015" s="17"/>
      <c r="E1015" s="17"/>
      <c r="F1015" s="17"/>
      <c r="G1015" s="17"/>
      <c r="M1015" s="17"/>
      <c r="N1015" s="17"/>
      <c r="O1015" s="17"/>
      <c r="P1015" s="17"/>
      <c r="Q1015" s="17"/>
      <c r="R1015" s="17"/>
    </row>
    <row r="1016">
      <c r="A1016" s="18"/>
      <c r="B1016" s="17"/>
      <c r="C1016" s="17"/>
      <c r="D1016" s="17"/>
      <c r="E1016" s="17"/>
      <c r="F1016" s="17"/>
      <c r="G1016" s="17"/>
      <c r="M1016" s="17"/>
      <c r="N1016" s="17"/>
      <c r="O1016" s="17"/>
      <c r="P1016" s="17"/>
      <c r="Q1016" s="17"/>
      <c r="R1016" s="17"/>
    </row>
    <row r="1017">
      <c r="A1017" s="18"/>
      <c r="B1017" s="17"/>
      <c r="C1017" s="17"/>
      <c r="D1017" s="17"/>
      <c r="E1017" s="17"/>
      <c r="F1017" s="17"/>
      <c r="G1017" s="17"/>
      <c r="M1017" s="17"/>
      <c r="N1017" s="17"/>
      <c r="O1017" s="17"/>
      <c r="P1017" s="17"/>
      <c r="Q1017" s="17"/>
      <c r="R1017" s="17"/>
    </row>
    <row r="1018">
      <c r="A1018" s="18"/>
      <c r="B1018" s="17"/>
      <c r="C1018" s="17"/>
      <c r="D1018" s="17"/>
      <c r="E1018" s="17"/>
      <c r="F1018" s="17"/>
      <c r="G1018" s="17"/>
      <c r="M1018" s="17"/>
      <c r="N1018" s="17"/>
      <c r="O1018" s="17"/>
      <c r="P1018" s="17"/>
      <c r="Q1018" s="17"/>
      <c r="R1018" s="17"/>
    </row>
    <row r="1019">
      <c r="A1019" s="18"/>
      <c r="B1019" s="17"/>
      <c r="C1019" s="17"/>
      <c r="D1019" s="17"/>
      <c r="E1019" s="17"/>
      <c r="F1019" s="17"/>
      <c r="G1019" s="17"/>
      <c r="M1019" s="17"/>
      <c r="N1019" s="17"/>
      <c r="O1019" s="17"/>
      <c r="P1019" s="17"/>
      <c r="Q1019" s="17"/>
      <c r="R1019" s="17"/>
    </row>
    <row r="1020">
      <c r="A1020" s="18"/>
      <c r="B1020" s="17"/>
      <c r="C1020" s="17"/>
      <c r="D1020" s="17"/>
      <c r="E1020" s="17"/>
      <c r="F1020" s="17"/>
      <c r="G1020" s="17"/>
      <c r="M1020" s="17"/>
      <c r="N1020" s="17"/>
      <c r="O1020" s="17"/>
      <c r="P1020" s="17"/>
      <c r="Q1020" s="17"/>
      <c r="R1020" s="17"/>
    </row>
    <row r="1021">
      <c r="A1021" s="18"/>
      <c r="B1021" s="17"/>
      <c r="C1021" s="17"/>
      <c r="D1021" s="17"/>
      <c r="E1021" s="17"/>
      <c r="F1021" s="17"/>
      <c r="G1021" s="17"/>
      <c r="M1021" s="17"/>
      <c r="N1021" s="17"/>
      <c r="O1021" s="17"/>
      <c r="P1021" s="17"/>
      <c r="Q1021" s="17"/>
      <c r="R1021" s="17"/>
    </row>
    <row r="1022">
      <c r="A1022" s="18"/>
      <c r="B1022" s="17"/>
      <c r="C1022" s="17"/>
      <c r="D1022" s="17"/>
      <c r="E1022" s="17"/>
      <c r="F1022" s="17"/>
      <c r="G1022" s="17"/>
      <c r="M1022" s="17"/>
      <c r="N1022" s="17"/>
      <c r="O1022" s="17"/>
      <c r="P1022" s="17"/>
      <c r="Q1022" s="17"/>
      <c r="R1022" s="17"/>
    </row>
    <row r="1023">
      <c r="A1023" s="18"/>
      <c r="B1023" s="17"/>
      <c r="C1023" s="17"/>
      <c r="D1023" s="17"/>
      <c r="E1023" s="17"/>
      <c r="F1023" s="17"/>
      <c r="G1023" s="17"/>
      <c r="M1023" s="17"/>
      <c r="N1023" s="17"/>
      <c r="O1023" s="17"/>
      <c r="P1023" s="17"/>
      <c r="Q1023" s="17"/>
      <c r="R1023" s="17"/>
    </row>
    <row r="1024">
      <c r="A1024" s="18"/>
      <c r="B1024" s="17"/>
      <c r="C1024" s="17"/>
      <c r="D1024" s="17"/>
      <c r="E1024" s="17"/>
      <c r="F1024" s="17"/>
      <c r="G1024" s="17"/>
      <c r="M1024" s="17"/>
      <c r="N1024" s="17"/>
      <c r="O1024" s="17"/>
      <c r="P1024" s="17"/>
      <c r="Q1024" s="17"/>
      <c r="R1024" s="17"/>
    </row>
    <row r="1025">
      <c r="A1025" s="18"/>
      <c r="B1025" s="17"/>
      <c r="C1025" s="17"/>
      <c r="D1025" s="17"/>
      <c r="E1025" s="17"/>
      <c r="F1025" s="17"/>
      <c r="G1025" s="17"/>
      <c r="M1025" s="17"/>
      <c r="N1025" s="17"/>
      <c r="O1025" s="17"/>
      <c r="P1025" s="17"/>
      <c r="Q1025" s="17"/>
      <c r="R1025" s="17"/>
    </row>
    <row r="1026">
      <c r="A1026" s="18"/>
      <c r="B1026" s="17"/>
      <c r="C1026" s="17"/>
      <c r="D1026" s="17"/>
      <c r="E1026" s="17"/>
      <c r="F1026" s="17"/>
      <c r="G1026" s="17"/>
      <c r="M1026" s="17"/>
      <c r="N1026" s="17"/>
      <c r="O1026" s="17"/>
      <c r="P1026" s="17"/>
      <c r="Q1026" s="17"/>
      <c r="R1026" s="17"/>
    </row>
    <row r="1027">
      <c r="A1027" s="18"/>
      <c r="B1027" s="17"/>
      <c r="C1027" s="17"/>
      <c r="D1027" s="17"/>
      <c r="E1027" s="17"/>
      <c r="F1027" s="17"/>
      <c r="G1027" s="17"/>
      <c r="M1027" s="17"/>
      <c r="N1027" s="17"/>
      <c r="O1027" s="17"/>
      <c r="P1027" s="17"/>
      <c r="Q1027" s="17"/>
      <c r="R1027" s="17"/>
    </row>
    <row r="1028">
      <c r="A1028" s="18"/>
      <c r="B1028" s="17"/>
      <c r="C1028" s="17"/>
      <c r="D1028" s="17"/>
      <c r="E1028" s="17"/>
      <c r="F1028" s="17"/>
      <c r="G1028" s="17"/>
      <c r="M1028" s="17"/>
      <c r="N1028" s="17"/>
      <c r="O1028" s="17"/>
      <c r="P1028" s="17"/>
      <c r="Q1028" s="17"/>
      <c r="R1028" s="17"/>
    </row>
    <row r="1029">
      <c r="A1029" s="18"/>
      <c r="B1029" s="17"/>
      <c r="C1029" s="17"/>
      <c r="D1029" s="17"/>
      <c r="E1029" s="17"/>
      <c r="F1029" s="17"/>
      <c r="G1029" s="17"/>
      <c r="M1029" s="17"/>
      <c r="N1029" s="17"/>
      <c r="O1029" s="17"/>
      <c r="P1029" s="17"/>
      <c r="Q1029" s="17"/>
      <c r="R1029" s="17"/>
    </row>
    <row r="1030">
      <c r="A1030" s="18"/>
      <c r="B1030" s="17"/>
      <c r="C1030" s="17"/>
      <c r="D1030" s="17"/>
      <c r="E1030" s="17"/>
      <c r="F1030" s="17"/>
      <c r="G1030" s="17"/>
      <c r="M1030" s="17"/>
      <c r="N1030" s="17"/>
      <c r="O1030" s="17"/>
      <c r="P1030" s="17"/>
      <c r="Q1030" s="17"/>
      <c r="R1030" s="17"/>
    </row>
    <row r="1031">
      <c r="A1031" s="18"/>
      <c r="B1031" s="17"/>
      <c r="C1031" s="17"/>
      <c r="D1031" s="17"/>
      <c r="E1031" s="17"/>
      <c r="F1031" s="17"/>
      <c r="G1031" s="17"/>
      <c r="M1031" s="17"/>
      <c r="N1031" s="17"/>
      <c r="O1031" s="17"/>
      <c r="P1031" s="17"/>
      <c r="Q1031" s="17"/>
      <c r="R1031" s="17"/>
    </row>
    <row r="1032">
      <c r="A1032" s="18"/>
      <c r="B1032" s="17"/>
      <c r="C1032" s="17"/>
      <c r="D1032" s="17"/>
      <c r="E1032" s="17"/>
      <c r="F1032" s="17"/>
      <c r="G1032" s="17"/>
      <c r="M1032" s="17"/>
      <c r="N1032" s="17"/>
      <c r="O1032" s="17"/>
      <c r="P1032" s="17"/>
      <c r="Q1032" s="17"/>
      <c r="R1032" s="17"/>
    </row>
    <row r="1033">
      <c r="A1033" s="18"/>
      <c r="B1033" s="17"/>
      <c r="C1033" s="17"/>
      <c r="D1033" s="17"/>
      <c r="E1033" s="17"/>
      <c r="F1033" s="17"/>
      <c r="G1033" s="17"/>
      <c r="M1033" s="17"/>
      <c r="N1033" s="17"/>
      <c r="O1033" s="17"/>
      <c r="P1033" s="17"/>
      <c r="Q1033" s="17"/>
      <c r="R1033" s="17"/>
    </row>
    <row r="1034">
      <c r="A1034" s="18"/>
      <c r="B1034" s="17"/>
      <c r="C1034" s="17"/>
      <c r="D1034" s="17"/>
      <c r="E1034" s="17"/>
      <c r="F1034" s="17"/>
      <c r="G1034" s="17"/>
      <c r="M1034" s="17"/>
      <c r="N1034" s="17"/>
      <c r="O1034" s="17"/>
      <c r="P1034" s="17"/>
      <c r="Q1034" s="17"/>
      <c r="R1034" s="17"/>
    </row>
    <row r="1035">
      <c r="A1035" s="18"/>
      <c r="B1035" s="17"/>
      <c r="C1035" s="17"/>
      <c r="D1035" s="17"/>
      <c r="E1035" s="17"/>
      <c r="F1035" s="17"/>
      <c r="G1035" s="17"/>
      <c r="M1035" s="17"/>
      <c r="N1035" s="17"/>
      <c r="O1035" s="17"/>
      <c r="P1035" s="17"/>
      <c r="Q1035" s="17"/>
      <c r="R1035" s="17"/>
    </row>
    <row r="1036">
      <c r="A1036" s="18"/>
      <c r="B1036" s="17"/>
      <c r="C1036" s="17"/>
      <c r="D1036" s="17"/>
      <c r="E1036" s="17"/>
      <c r="F1036" s="17"/>
      <c r="G1036" s="17"/>
      <c r="M1036" s="17"/>
      <c r="N1036" s="17"/>
      <c r="O1036" s="17"/>
      <c r="P1036" s="17"/>
      <c r="Q1036" s="17"/>
      <c r="R1036" s="17"/>
    </row>
    <row r="1037">
      <c r="A1037" s="18"/>
      <c r="B1037" s="17"/>
      <c r="C1037" s="17"/>
      <c r="D1037" s="17"/>
      <c r="E1037" s="17"/>
      <c r="F1037" s="17"/>
      <c r="G1037" s="17"/>
      <c r="M1037" s="17"/>
      <c r="N1037" s="17"/>
      <c r="O1037" s="17"/>
      <c r="P1037" s="17"/>
      <c r="Q1037" s="17"/>
      <c r="R1037" s="17"/>
    </row>
    <row r="1038">
      <c r="A1038" s="18"/>
      <c r="B1038" s="17"/>
      <c r="C1038" s="17"/>
      <c r="D1038" s="17"/>
      <c r="E1038" s="17"/>
      <c r="F1038" s="17"/>
      <c r="G1038" s="17"/>
      <c r="M1038" s="17"/>
      <c r="N1038" s="17"/>
      <c r="O1038" s="17"/>
      <c r="P1038" s="17"/>
      <c r="Q1038" s="17"/>
      <c r="R1038" s="17"/>
    </row>
    <row r="1039">
      <c r="A1039" s="18"/>
      <c r="B1039" s="17"/>
      <c r="C1039" s="17"/>
      <c r="D1039" s="17"/>
      <c r="E1039" s="17"/>
      <c r="F1039" s="17"/>
      <c r="G1039" s="17"/>
      <c r="M1039" s="17"/>
      <c r="N1039" s="17"/>
      <c r="O1039" s="17"/>
      <c r="P1039" s="17"/>
      <c r="Q1039" s="17"/>
      <c r="R1039" s="17"/>
    </row>
    <row r="1040">
      <c r="A1040" s="18"/>
      <c r="B1040" s="17"/>
      <c r="C1040" s="17"/>
      <c r="D1040" s="17"/>
      <c r="E1040" s="17"/>
      <c r="F1040" s="17"/>
      <c r="G1040" s="17"/>
      <c r="M1040" s="17"/>
      <c r="N1040" s="17"/>
      <c r="O1040" s="17"/>
      <c r="P1040" s="17"/>
      <c r="Q1040" s="17"/>
      <c r="R1040" s="17"/>
    </row>
    <row r="1041">
      <c r="A1041" s="18"/>
      <c r="B1041" s="17"/>
      <c r="C1041" s="17"/>
      <c r="D1041" s="17"/>
      <c r="E1041" s="17"/>
      <c r="F1041" s="17"/>
      <c r="G1041" s="17"/>
      <c r="M1041" s="17"/>
      <c r="N1041" s="17"/>
      <c r="O1041" s="17"/>
      <c r="P1041" s="17"/>
      <c r="Q1041" s="17"/>
      <c r="R1041" s="17"/>
    </row>
    <row r="1042">
      <c r="A1042" s="18"/>
      <c r="B1042" s="17"/>
      <c r="C1042" s="17"/>
      <c r="D1042" s="17"/>
      <c r="E1042" s="17"/>
      <c r="F1042" s="17"/>
      <c r="G1042" s="17"/>
      <c r="M1042" s="17"/>
      <c r="N1042" s="17"/>
      <c r="O1042" s="17"/>
      <c r="P1042" s="17"/>
      <c r="Q1042" s="17"/>
      <c r="R1042" s="17"/>
    </row>
    <row r="1043">
      <c r="A1043" s="18"/>
      <c r="B1043" s="17"/>
      <c r="C1043" s="17"/>
      <c r="D1043" s="17"/>
      <c r="E1043" s="17"/>
      <c r="F1043" s="17"/>
      <c r="G1043" s="17"/>
      <c r="M1043" s="17"/>
      <c r="N1043" s="17"/>
      <c r="O1043" s="17"/>
      <c r="P1043" s="17"/>
      <c r="Q1043" s="17"/>
      <c r="R1043" s="17"/>
    </row>
    <row r="1044">
      <c r="A1044" s="18"/>
      <c r="B1044" s="17"/>
      <c r="C1044" s="17"/>
      <c r="D1044" s="17"/>
      <c r="E1044" s="17"/>
      <c r="F1044" s="17"/>
      <c r="G1044" s="17"/>
      <c r="M1044" s="17"/>
      <c r="N1044" s="17"/>
      <c r="O1044" s="17"/>
      <c r="P1044" s="17"/>
      <c r="Q1044" s="17"/>
      <c r="R1044" s="17"/>
    </row>
    <row r="1045">
      <c r="A1045" s="18"/>
      <c r="B1045" s="17"/>
      <c r="C1045" s="17"/>
      <c r="D1045" s="17"/>
      <c r="E1045" s="17"/>
      <c r="F1045" s="17"/>
      <c r="G1045" s="17"/>
      <c r="M1045" s="17"/>
      <c r="N1045" s="17"/>
      <c r="O1045" s="17"/>
      <c r="P1045" s="17"/>
      <c r="Q1045" s="17"/>
      <c r="R1045" s="17"/>
    </row>
    <row r="1046">
      <c r="A1046" s="18"/>
      <c r="B1046" s="17"/>
      <c r="C1046" s="17"/>
      <c r="D1046" s="17"/>
      <c r="E1046" s="17"/>
      <c r="F1046" s="17"/>
      <c r="G1046" s="17"/>
      <c r="M1046" s="17"/>
      <c r="N1046" s="17"/>
      <c r="O1046" s="17"/>
      <c r="P1046" s="17"/>
      <c r="Q1046" s="17"/>
      <c r="R1046" s="17"/>
    </row>
    <row r="1047">
      <c r="A1047" s="18"/>
      <c r="B1047" s="17"/>
      <c r="C1047" s="17"/>
      <c r="D1047" s="17"/>
      <c r="E1047" s="17"/>
      <c r="F1047" s="17"/>
      <c r="G1047" s="17"/>
      <c r="M1047" s="17"/>
      <c r="N1047" s="17"/>
      <c r="O1047" s="17"/>
      <c r="P1047" s="17"/>
      <c r="Q1047" s="17"/>
      <c r="R1047" s="17"/>
    </row>
    <row r="1048">
      <c r="A1048" s="18"/>
      <c r="B1048" s="17"/>
      <c r="C1048" s="17"/>
      <c r="D1048" s="17"/>
      <c r="E1048" s="17"/>
      <c r="F1048" s="17"/>
      <c r="G1048" s="17"/>
    </row>
    <row r="1049">
      <c r="A1049" s="18"/>
      <c r="B1049" s="17"/>
      <c r="C1049" s="17"/>
      <c r="D1049" s="17"/>
      <c r="E1049" s="17"/>
      <c r="F1049" s="17"/>
      <c r="G1049" s="17"/>
    </row>
    <row r="1050">
      <c r="A1050" s="18"/>
      <c r="B1050" s="17"/>
      <c r="C1050" s="17"/>
      <c r="D1050" s="17"/>
      <c r="E1050" s="17"/>
      <c r="F1050" s="17"/>
      <c r="G1050" s="17"/>
    </row>
    <row r="1051">
      <c r="A1051" s="18"/>
      <c r="B1051" s="17"/>
      <c r="C1051" s="17"/>
      <c r="D1051" s="17"/>
      <c r="E1051" s="17"/>
      <c r="F1051" s="17"/>
      <c r="G1051" s="17"/>
    </row>
    <row r="1052">
      <c r="A1052" s="18"/>
      <c r="B1052" s="17"/>
      <c r="C1052" s="17"/>
      <c r="D1052" s="17"/>
      <c r="E1052" s="17"/>
      <c r="F1052" s="17"/>
      <c r="G1052" s="17"/>
    </row>
  </sheetData>
  <mergeCells count="15">
    <mergeCell ref="L2:P2"/>
    <mergeCell ref="Q2:U2"/>
    <mergeCell ref="M49:O49"/>
    <mergeCell ref="P49:R49"/>
    <mergeCell ref="B54:D54"/>
    <mergeCell ref="E54:G54"/>
    <mergeCell ref="V2:Z2"/>
    <mergeCell ref="AA2:AE2"/>
    <mergeCell ref="A1:A3"/>
    <mergeCell ref="B1:P1"/>
    <mergeCell ref="Q1:AE1"/>
    <mergeCell ref="AG1:AI1"/>
    <mergeCell ref="AJ1:AL1"/>
    <mergeCell ref="B2:F2"/>
    <mergeCell ref="G2:K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/>
      <c r="B1" s="19" t="s">
        <v>63</v>
      </c>
      <c r="K1" s="20" t="s">
        <v>63</v>
      </c>
    </row>
    <row r="2">
      <c r="A2" s="1" t="s">
        <v>0</v>
      </c>
      <c r="B2" s="19" t="s">
        <v>1</v>
      </c>
      <c r="K2" s="20" t="s">
        <v>2</v>
      </c>
    </row>
    <row r="3">
      <c r="B3" s="23" t="s">
        <v>64</v>
      </c>
      <c r="C3" s="19" t="s">
        <v>65</v>
      </c>
      <c r="K3" s="24" t="s">
        <v>64</v>
      </c>
      <c r="L3" s="20" t="s">
        <v>65</v>
      </c>
    </row>
    <row r="4">
      <c r="B4" s="25" t="s">
        <v>66</v>
      </c>
      <c r="C4" s="10" t="s">
        <v>8</v>
      </c>
      <c r="D4" s="10" t="s">
        <v>9</v>
      </c>
      <c r="E4" s="10" t="s">
        <v>10</v>
      </c>
      <c r="F4" s="10" t="s">
        <v>61</v>
      </c>
      <c r="G4" s="10" t="s">
        <v>13</v>
      </c>
      <c r="H4" s="10" t="s">
        <v>11</v>
      </c>
      <c r="I4" s="10" t="s">
        <v>15</v>
      </c>
      <c r="J4" s="10" t="s">
        <v>14</v>
      </c>
      <c r="K4" s="26" t="s">
        <v>66</v>
      </c>
      <c r="L4" s="11" t="s">
        <v>8</v>
      </c>
      <c r="M4" s="11" t="s">
        <v>9</v>
      </c>
      <c r="N4" s="11" t="s">
        <v>10</v>
      </c>
      <c r="O4" s="11" t="s">
        <v>61</v>
      </c>
      <c r="P4" s="11" t="s">
        <v>13</v>
      </c>
      <c r="Q4" s="11" t="s">
        <v>11</v>
      </c>
      <c r="R4" s="11" t="s">
        <v>15</v>
      </c>
      <c r="S4" s="11" t="s">
        <v>14</v>
      </c>
    </row>
    <row r="5">
      <c r="A5" s="14" t="s">
        <v>16</v>
      </c>
      <c r="B5" s="27">
        <f>IFERROR(__xludf.DUMMYFUNCTION("('HV (Max.) - A1'!B3) * -1"),0.8322560356)</f>
        <v>0.8322560356</v>
      </c>
      <c r="C5" s="28">
        <f>IFERROR(__xludf.DUMMYFUNCTION("((B5-('HV (Max.) - A1'!C3*-1))*100)/B5"),79.57560984493749)</f>
        <v>79.57560984</v>
      </c>
      <c r="D5" s="28">
        <f>IFERROR(__xludf.DUMMYFUNCTION("((B5-('HV (Max.) - A1'!D3*-1))*100)/B5"),79.57560984493749)</f>
        <v>79.57560984</v>
      </c>
      <c r="E5" s="28">
        <f>IFERROR(__xludf.DUMMYFUNCTION("((B5-('HV (Max.) - A1'!E3*-1))*100)/B5"),8.981246167366344)</f>
        <v>8.981246167</v>
      </c>
      <c r="F5" s="28">
        <f>IFERROR(__xludf.DUMMYFUNCTION("((B5-('HV (Max.) - A1'!F3*-1))*100)/B5"),3.9331604698307894)</f>
        <v>3.93316047</v>
      </c>
      <c r="G5" s="28">
        <f>IFERROR(__xludf.DUMMYFUNCTION("((B5-('HV (Max.) - A1'!G3*-1))*100)/B5"),1.127703074359065)</f>
        <v>1.127703074</v>
      </c>
      <c r="H5" s="28">
        <f>IFERROR(__xludf.DUMMYFUNCTION("((B5-('HV (Max.) - A1'!H3*-1))*100)/B5"),0.204060761034394)</f>
        <v>0.204060761</v>
      </c>
      <c r="I5" s="28">
        <f>IFERROR(__xludf.DUMMYFUNCTION("((B5-('HV (Max.) - A1'!I3*-1))*100)/B5"),0.204060761034394)</f>
        <v>0.204060761</v>
      </c>
      <c r="J5" s="28">
        <f>IFERROR(__xludf.DUMMYFUNCTION("((B5-('HV (Max.) - A1'!J3*-1))*100)/B5"),0.204060761034394)</f>
        <v>0.204060761</v>
      </c>
      <c r="K5" s="29">
        <f>IFERROR(__xludf.DUMMYFUNCTION("('HV (Max.) - A1'!K3) * -1"),0.7822976916)</f>
        <v>0.7822976916</v>
      </c>
      <c r="L5" s="30">
        <f>IFERROR(__xludf.DUMMYFUNCTION("((K5-('HV (Max.) - A1'!L3*-1))*100)/K5"),76.66003795478923)</f>
        <v>76.66003795</v>
      </c>
      <c r="M5" s="30">
        <f>IFERROR(__xludf.DUMMYFUNCTION("((K5-('HV (Max.) - A1'!M3*-1))*100)/K5"),76.66003795478923)</f>
        <v>76.66003795</v>
      </c>
      <c r="N5" s="30">
        <f>IFERROR(__xludf.DUMMYFUNCTION("((K5-('HV (Max.) - A1'!N3*-1))*100)/K5"),6.590084510483295)</f>
        <v>6.59008451</v>
      </c>
      <c r="O5" s="30">
        <f>IFERROR(__xludf.DUMMYFUNCTION("((K5-('HV (Max.) - A1'!O3*-1))*100)/K5"),2.748040781768293)</f>
        <v>2.748040782</v>
      </c>
      <c r="P5" s="30">
        <f>IFERROR(__xludf.DUMMYFUNCTION("((K5-('HV (Max.) - A1'!P3*-1))*100)/K5"),0.0)</f>
        <v>0</v>
      </c>
      <c r="Q5" s="30">
        <f>IFERROR(__xludf.DUMMYFUNCTION("((K5-('HV (Max.) - A1'!Q3*-1))*100)/K5"),0.0)</f>
        <v>0</v>
      </c>
      <c r="R5" s="30">
        <f>IFERROR(__xludf.DUMMYFUNCTION("((K5-('HV (Max.) - A1'!R3*-1))*100)/K5"),3.6968660793118415)</f>
        <v>3.696866079</v>
      </c>
      <c r="S5" s="30">
        <f>IFERROR(__xludf.DUMMYFUNCTION("((K5-('HV (Max.) - A1'!S3*-1))*100)/K5"),0.0)</f>
        <v>0</v>
      </c>
    </row>
    <row r="6">
      <c r="A6" s="14" t="s">
        <v>17</v>
      </c>
      <c r="B6" s="27">
        <f>IFERROR(__xludf.DUMMYFUNCTION("('HV (Max.) - A1'!B4) * -1"),0.7870785051)</f>
        <v>0.7870785051</v>
      </c>
      <c r="C6" s="28">
        <f>IFERROR(__xludf.DUMMYFUNCTION("((B6-('HV (Max.) - A1'!C4*-1))*100)/B6"),73.05510052354242)</f>
        <v>73.05510052</v>
      </c>
      <c r="D6" s="28">
        <f>IFERROR(__xludf.DUMMYFUNCTION("((B6-('HV (Max.) - A1'!D4*-1))*100)/B6"),70.09713526986775)</f>
        <v>70.09713527</v>
      </c>
      <c r="E6" s="28">
        <f>IFERROR(__xludf.DUMMYFUNCTION("((B6-('HV (Max.) - A1'!E4*-1))*100)/B6"),15.66960014799672)</f>
        <v>15.66960015</v>
      </c>
      <c r="F6" s="28">
        <f>IFERROR(__xludf.DUMMYFUNCTION("((B6-('HV (Max.) - A1'!F4*-1))*100)/B6"),2.4730926170480174)</f>
        <v>2.473092617</v>
      </c>
      <c r="G6" s="28">
        <f>IFERROR(__xludf.DUMMYFUNCTION("((B6-('HV (Max.) - A1'!G4*-1))*100)/B6"),0.0)</f>
        <v>0</v>
      </c>
      <c r="H6" s="28">
        <f>IFERROR(__xludf.DUMMYFUNCTION("((B6-('HV (Max.) - A1'!H4*-1))*100)/B6"),0.0)</f>
        <v>0</v>
      </c>
      <c r="I6" s="28">
        <f>IFERROR(__xludf.DUMMYFUNCTION("((B6-('HV (Max.) - A1'!I4*-1))*100)/B6"),1.102066483050248)</f>
        <v>1.102066483</v>
      </c>
      <c r="J6" s="28">
        <f>IFERROR(__xludf.DUMMYFUNCTION("((B6-('HV (Max.) - A1'!J4*-1))*100)/B6"),0.0)</f>
        <v>0</v>
      </c>
      <c r="K6" s="29">
        <f>IFERROR(__xludf.DUMMYFUNCTION("('HV (Max.) - A1'!K4) * -1"),0.7438642337)</f>
        <v>0.7438642337</v>
      </c>
      <c r="L6" s="30">
        <f>IFERROR(__xludf.DUMMYFUNCTION("((K6-('HV (Max.) - A1'!L4*-1))*100)/K6"),84.91573624371179)</f>
        <v>84.91573624</v>
      </c>
      <c r="M6" s="30">
        <f>IFERROR(__xludf.DUMMYFUNCTION("((K6-('HV (Max.) - A1'!M4*-1))*100)/K6"),81.62893731020368)</f>
        <v>81.62893731</v>
      </c>
      <c r="N6" s="30">
        <f>IFERROR(__xludf.DUMMYFUNCTION("((K6-('HV (Max.) - A1'!N4*-1))*100)/K6"),16.02827362823373)</f>
        <v>16.02827363</v>
      </c>
      <c r="O6" s="30">
        <f>IFERROR(__xludf.DUMMYFUNCTION("((K6-('HV (Max.) - A1'!O4*-1))*100)/K6"),1.6924851242515047)</f>
        <v>1.692485124</v>
      </c>
      <c r="P6" s="30">
        <f>IFERROR(__xludf.DUMMYFUNCTION("((K6-('HV (Max.) - A1'!P4*-1))*100)/K6"),0.10549581018254162)</f>
        <v>0.1054958102</v>
      </c>
      <c r="Q6" s="30">
        <f>IFERROR(__xludf.DUMMYFUNCTION("((K6-('HV (Max.) - A1'!Q4*-1))*100)/K6"),0.10549581018254162)</f>
        <v>0.1054958102</v>
      </c>
      <c r="R6" s="30">
        <f>IFERROR(__xludf.DUMMYFUNCTION("((K6-('HV (Max.) - A1'!R4*-1))*100)/K6"),4.147365419970181)</f>
        <v>4.14736542</v>
      </c>
      <c r="S6" s="30">
        <f>IFERROR(__xludf.DUMMYFUNCTION("((K6-('HV (Max.) - A1'!S4*-1))*100)/K6"),0.10549581018254162)</f>
        <v>0.1054958102</v>
      </c>
    </row>
    <row r="7">
      <c r="A7" s="14" t="s">
        <v>18</v>
      </c>
      <c r="B7" s="27">
        <f>IFERROR(__xludf.DUMMYFUNCTION("('HV (Max.) - A1'!B5) * -1"),0.8227484149)</f>
        <v>0.8227484149</v>
      </c>
      <c r="C7" s="28">
        <f>IFERROR(__xludf.DUMMYFUNCTION("((B7-('HV (Max.) - A1'!C5*-1))*100)/B7"),79.36625887992336)</f>
        <v>79.36625888</v>
      </c>
      <c r="D7" s="28">
        <f>IFERROR(__xludf.DUMMYFUNCTION("((B7-('HV (Max.) - A1'!D5*-1))*100)/B7"),82.08674043839838)</f>
        <v>82.08674044</v>
      </c>
      <c r="E7" s="28">
        <f>IFERROR(__xludf.DUMMYFUNCTION("((B7-('HV (Max.) - A1'!E5*-1))*100)/B7"),6.723611762500155)</f>
        <v>6.723611763</v>
      </c>
      <c r="F7" s="28">
        <f>IFERROR(__xludf.DUMMYFUNCTION("((B7-('HV (Max.) - A1'!F5*-1))*100)/B7"),4.102281267123704)</f>
        <v>4.102281267</v>
      </c>
      <c r="G7" s="28">
        <f>IFERROR(__xludf.DUMMYFUNCTION("((B7-('HV (Max.) - A1'!G5*-1))*100)/B7"),0.4062642649279645)</f>
        <v>0.4062642649</v>
      </c>
      <c r="H7" s="28">
        <f>IFERROR(__xludf.DUMMYFUNCTION("((B7-('HV (Max.) - A1'!H5*-1))*100)/B7"),0.4062642649279645)</f>
        <v>0.4062642649</v>
      </c>
      <c r="I7" s="28">
        <f>IFERROR(__xludf.DUMMYFUNCTION("((B7-('HV (Max.) - A1'!I5*-1))*100)/B7"),4.779159143658643)</f>
        <v>4.779159144</v>
      </c>
      <c r="J7" s="28">
        <f>IFERROR(__xludf.DUMMYFUNCTION("((B7-('HV (Max.) - A1'!J5*-1))*100)/B7"),0.18193223747285173)</f>
        <v>0.1819322375</v>
      </c>
      <c r="K7" s="29">
        <f>IFERROR(__xludf.DUMMYFUNCTION("('HV (Max.) - A1'!K5) * -1"),0.80627091)</f>
        <v>0.80627091</v>
      </c>
      <c r="L7" s="30">
        <f>IFERROR(__xludf.DUMMYFUNCTION("((K7-('HV (Max.) - A1'!L5*-1))*100)/K7"),83.60231002257045)</f>
        <v>83.60231002</v>
      </c>
      <c r="M7" s="30">
        <f>IFERROR(__xludf.DUMMYFUNCTION("((K7-('HV (Max.) - A1'!M5*-1))*100)/K7"),84.78605296574571)</f>
        <v>84.78605297</v>
      </c>
      <c r="N7" s="30">
        <f>IFERROR(__xludf.DUMMYFUNCTION("((K7-('HV (Max.) - A1'!N5*-1))*100)/K7"),4.486901021891009)</f>
        <v>4.486901022</v>
      </c>
      <c r="O7" s="30">
        <f>IFERROR(__xludf.DUMMYFUNCTION("((K7-('HV (Max.) - A1'!O5*-1))*100)/K7"),3.0420788714800526)</f>
        <v>3.042078871</v>
      </c>
      <c r="P7" s="30">
        <f>IFERROR(__xludf.DUMMYFUNCTION("((K7-('HV (Max.) - A1'!P5*-1))*100)/K7"),0.816348105626183)</f>
        <v>0.8163481056</v>
      </c>
      <c r="Q7" s="30">
        <f>IFERROR(__xludf.DUMMYFUNCTION("((K7-('HV (Max.) - A1'!Q5*-1))*100)/K7"),0.816348105626183)</f>
        <v>0.8163481056</v>
      </c>
      <c r="R7" s="30">
        <f>IFERROR(__xludf.DUMMYFUNCTION("((K7-('HV (Max.) - A1'!R5*-1))*100)/K7"),3.305257013427398)</f>
        <v>3.305257013</v>
      </c>
      <c r="S7" s="30">
        <f>IFERROR(__xludf.DUMMYFUNCTION("((K7-('HV (Max.) - A1'!S5*-1))*100)/K7"),0.816348105626183)</f>
        <v>0.8163481056</v>
      </c>
    </row>
    <row r="8">
      <c r="A8" s="14" t="s">
        <v>19</v>
      </c>
      <c r="B8" s="27">
        <f>IFERROR(__xludf.DUMMYFUNCTION("('HV (Max.) - A1'!B6) * -1"),0.8112137575)</f>
        <v>0.8112137575</v>
      </c>
      <c r="C8" s="28">
        <f>IFERROR(__xludf.DUMMYFUNCTION("((B8-('HV (Max.) - A1'!C6*-1))*100)/B8"),78.15755726997763)</f>
        <v>78.15755727</v>
      </c>
      <c r="D8" s="28">
        <f>IFERROR(__xludf.DUMMYFUNCTION("((B8-('HV (Max.) - A1'!D6*-1))*100)/B8"),76.93525350499249)</f>
        <v>76.9352535</v>
      </c>
      <c r="E8" s="28">
        <f>IFERROR(__xludf.DUMMYFUNCTION("((B8-('HV (Max.) - A1'!E6*-1))*100)/B8"),16.68428374749303)</f>
        <v>16.68428375</v>
      </c>
      <c r="F8" s="28">
        <f>IFERROR(__xludf.DUMMYFUNCTION("((B8-('HV (Max.) - A1'!F6*-1))*100)/B8"),2.2897966569557417)</f>
        <v>2.289796657</v>
      </c>
      <c r="G8" s="28">
        <f>IFERROR(__xludf.DUMMYFUNCTION("((B8-('HV (Max.) - A1'!G6*-1))*100)/B8"),0.01923436314503229)</f>
        <v>0.01923436315</v>
      </c>
      <c r="H8" s="28">
        <f>IFERROR(__xludf.DUMMYFUNCTION("((B8-('HV (Max.) - A1'!H6*-1))*100)/B8"),0.0)</f>
        <v>0</v>
      </c>
      <c r="I8" s="28">
        <f>IFERROR(__xludf.DUMMYFUNCTION("((B8-('HV (Max.) - A1'!I6*-1))*100)/B8"),0.7993288254853126)</f>
        <v>0.7993288255</v>
      </c>
      <c r="J8" s="28">
        <f>IFERROR(__xludf.DUMMYFUNCTION("((B8-('HV (Max.) - A1'!J6*-1))*100)/B8"),0.0)</f>
        <v>0</v>
      </c>
      <c r="K8" s="29">
        <f>IFERROR(__xludf.DUMMYFUNCTION("('HV (Max.) - A1'!K6) * -1"),0.7517813631)</f>
        <v>0.7517813631</v>
      </c>
      <c r="L8" s="30">
        <f>IFERROR(__xludf.DUMMYFUNCTION("((K8-('HV (Max.) - A1'!L6*-1))*100)/K8"),82.23806080409071)</f>
        <v>82.2380608</v>
      </c>
      <c r="M8" s="30">
        <f>IFERROR(__xludf.DUMMYFUNCTION("((K8-('HV (Max.) - A1'!M6*-1))*100)/K8"),82.23806080409071)</f>
        <v>82.2380608</v>
      </c>
      <c r="N8" s="30">
        <f>IFERROR(__xludf.DUMMYFUNCTION("((K8-('HV (Max.) - A1'!N6*-1))*100)/K8"),1.1386391602875243)</f>
        <v>1.13863916</v>
      </c>
      <c r="O8" s="30">
        <f>IFERROR(__xludf.DUMMYFUNCTION("((K8-('HV (Max.) - A1'!O6*-1))*100)/K8"),2.9706567090077387)</f>
        <v>2.970656709</v>
      </c>
      <c r="P8" s="30">
        <f>IFERROR(__xludf.DUMMYFUNCTION("((K8-('HV (Max.) - A1'!P6*-1))*100)/K8"),0.0)</f>
        <v>0</v>
      </c>
      <c r="Q8" s="30">
        <f>IFERROR(__xludf.DUMMYFUNCTION("((K8-('HV (Max.) - A1'!Q6*-1))*100)/K8"),0.0)</f>
        <v>0</v>
      </c>
      <c r="R8" s="30">
        <f>IFERROR(__xludf.DUMMYFUNCTION("((K8-('HV (Max.) - A1'!R6*-1))*100)/K8"),2.9706567090077387)</f>
        <v>2.970656709</v>
      </c>
      <c r="S8" s="30">
        <f>IFERROR(__xludf.DUMMYFUNCTION("((K8-('HV (Max.) - A1'!S6*-1))*100)/K8"),0.0)</f>
        <v>0</v>
      </c>
    </row>
    <row r="9">
      <c r="A9" s="14" t="s">
        <v>20</v>
      </c>
      <c r="B9" s="27">
        <f>IFERROR(__xludf.DUMMYFUNCTION("('HV (Max.) - A1'!B7) * -1"),0.8369422121)</f>
        <v>0.8369422121</v>
      </c>
      <c r="C9" s="28">
        <f>IFERROR(__xludf.DUMMYFUNCTION("((B9-('HV (Max.) - A1'!C7*-1))*100)/B9"),70.51170733989557)</f>
        <v>70.51170734</v>
      </c>
      <c r="D9" s="28">
        <f>IFERROR(__xludf.DUMMYFUNCTION("((B9-('HV (Max.) - A1'!D7*-1))*100)/B9"),62.51838592142627)</f>
        <v>62.51838592</v>
      </c>
      <c r="E9" s="28">
        <f>IFERROR(__xludf.DUMMYFUNCTION("((B9-('HV (Max.) - A1'!E7*-1))*100)/B9"),15.76085835950632)</f>
        <v>15.76085836</v>
      </c>
      <c r="F9" s="28">
        <f>IFERROR(__xludf.DUMMYFUNCTION("((B9-('HV (Max.) - A1'!F7*-1))*100)/B9"),5.824508991807847)</f>
        <v>5.824508992</v>
      </c>
      <c r="G9" s="28">
        <f>IFERROR(__xludf.DUMMYFUNCTION("((B9-('HV (Max.) - A1'!G7*-1))*100)/B9"),0.12584530745046768)</f>
        <v>0.1258453075</v>
      </c>
      <c r="H9" s="28">
        <f>IFERROR(__xludf.DUMMYFUNCTION("((B9-('HV (Max.) - A1'!H7*-1))*100)/B9"),0.12584530745046768)</f>
        <v>0.1258453075</v>
      </c>
      <c r="I9" s="28">
        <f>IFERROR(__xludf.DUMMYFUNCTION("((B9-('HV (Max.) - A1'!I7*-1))*100)/B9"),3.0967910120063555)</f>
        <v>3.096791012</v>
      </c>
      <c r="J9" s="28">
        <f>IFERROR(__xludf.DUMMYFUNCTION("((B9-('HV (Max.) - A1'!J7*-1))*100)/B9"),0.12584530745046768)</f>
        <v>0.1258453075</v>
      </c>
      <c r="K9" s="29">
        <f>IFERROR(__xludf.DUMMYFUNCTION("('HV (Max.) - A1'!K7) * -1"),0.7816703334)</f>
        <v>0.7816703334</v>
      </c>
      <c r="L9" s="30">
        <f>IFERROR(__xludf.DUMMYFUNCTION("((K9-('HV (Max.) - A1'!L7*-1))*100)/K9"),77.8701123595693)</f>
        <v>77.87011236</v>
      </c>
      <c r="M9" s="30">
        <f>IFERROR(__xludf.DUMMYFUNCTION("((K9-('HV (Max.) - A1'!M7*-1))*100)/K9"),71.14896516296521)</f>
        <v>71.14896516</v>
      </c>
      <c r="N9" s="30">
        <f>IFERROR(__xludf.DUMMYFUNCTION("((K9-('HV (Max.) - A1'!N7*-1))*100)/K9"),5.525850279122286)</f>
        <v>5.525850279</v>
      </c>
      <c r="O9" s="30">
        <f>IFERROR(__xludf.DUMMYFUNCTION("((K9-('HV (Max.) - A1'!O7*-1))*100)/K9"),3.5100702211196357)</f>
        <v>3.510070221</v>
      </c>
      <c r="P9" s="30">
        <f>IFERROR(__xludf.DUMMYFUNCTION("((K9-('HV (Max.) - A1'!P7*-1))*100)/K9"),0.0)</f>
        <v>0</v>
      </c>
      <c r="Q9" s="30">
        <f>IFERROR(__xludf.DUMMYFUNCTION("((K9-('HV (Max.) - A1'!Q7*-1))*100)/K9"),0.0)</f>
        <v>0</v>
      </c>
      <c r="R9" s="30">
        <f>IFERROR(__xludf.DUMMYFUNCTION("((K9-('HV (Max.) - A1'!R7*-1))*100)/K9"),5.872100889431045)</f>
        <v>5.872100889</v>
      </c>
      <c r="S9" s="30">
        <f>IFERROR(__xludf.DUMMYFUNCTION("((K9-('HV (Max.) - A1'!S7*-1))*100)/K9"),0.0)</f>
        <v>0</v>
      </c>
    </row>
    <row r="10">
      <c r="A10" s="14" t="s">
        <v>21</v>
      </c>
      <c r="B10" s="27">
        <f>IFERROR(__xludf.DUMMYFUNCTION("('HV (Max.) - A1'!B8) * -1"),0.8569794297)</f>
        <v>0.8569794297</v>
      </c>
      <c r="C10" s="28">
        <f>IFERROR(__xludf.DUMMYFUNCTION("((B10-('HV (Max.) - A1'!C8*-1))*100)/B10"),78.82144266128586)</f>
        <v>78.82144266</v>
      </c>
      <c r="D10" s="28">
        <f>IFERROR(__xludf.DUMMYFUNCTION("((B10-('HV (Max.) - A1'!D8*-1))*100)/B10"),78.82144266128586)</f>
        <v>78.82144266</v>
      </c>
      <c r="E10" s="28">
        <f>IFERROR(__xludf.DUMMYFUNCTION("((B10-('HV (Max.) - A1'!E8*-1))*100)/B10"),14.221199876718574)</f>
        <v>14.22119988</v>
      </c>
      <c r="F10" s="28">
        <f>IFERROR(__xludf.DUMMYFUNCTION("((B10-('HV (Max.) - A1'!F8*-1))*100)/B10"),4.755607531241069)</f>
        <v>4.755607531</v>
      </c>
      <c r="G10" s="28">
        <f>IFERROR(__xludf.DUMMYFUNCTION("((B10-('HV (Max.) - A1'!G8*-1))*100)/B10"),0.6049719538559797)</f>
        <v>0.6049719539</v>
      </c>
      <c r="H10" s="28">
        <f>IFERROR(__xludf.DUMMYFUNCTION("((B10-('HV (Max.) - A1'!H8*-1))*100)/B10"),0.5343861755938708)</f>
        <v>0.5343861756</v>
      </c>
      <c r="I10" s="28">
        <f>IFERROR(__xludf.DUMMYFUNCTION("((B10-('HV (Max.) - A1'!I8*-1))*100)/B10"),1.033873007092082)</f>
        <v>1.033873007</v>
      </c>
      <c r="J10" s="28">
        <f>IFERROR(__xludf.DUMMYFUNCTION("((B10-('HV (Max.) - A1'!J8*-1))*100)/B10"),0.5343861755938708)</f>
        <v>0.5343861756</v>
      </c>
      <c r="K10" s="29">
        <f>IFERROR(__xludf.DUMMYFUNCTION("('HV (Max.) - A1'!K8) * -1"),0.745003821)</f>
        <v>0.745003821</v>
      </c>
      <c r="L10" s="30">
        <f>IFERROR(__xludf.DUMMYFUNCTION("((K10-('HV (Max.) - A1'!L8*-1))*100)/K10"),83.27207531194662)</f>
        <v>83.27207531</v>
      </c>
      <c r="M10" s="30">
        <f>IFERROR(__xludf.DUMMYFUNCTION("((K10-('HV (Max.) - A1'!M8*-1))*100)/K10"),87.85003246177982)</f>
        <v>87.85003246</v>
      </c>
      <c r="N10" s="30">
        <f>IFERROR(__xludf.DUMMYFUNCTION("((K10-('HV (Max.) - A1'!N8*-1))*100)/K10"),12.692458821630655)</f>
        <v>12.69245882</v>
      </c>
      <c r="O10" s="30">
        <f>IFERROR(__xludf.DUMMYFUNCTION("((K10-('HV (Max.) - A1'!O8*-1))*100)/K10"),2.1865756846903355)</f>
        <v>2.186575685</v>
      </c>
      <c r="P10" s="30">
        <f>IFERROR(__xludf.DUMMYFUNCTION("((K10-('HV (Max.) - A1'!P8*-1))*100)/K10"),1.0011332411676328)</f>
        <v>1.001133241</v>
      </c>
      <c r="Q10" s="30">
        <f>IFERROR(__xludf.DUMMYFUNCTION("((K10-('HV (Max.) - A1'!Q8*-1))*100)/K10"),1.0011332411676328)</f>
        <v>1.001133241</v>
      </c>
      <c r="R10" s="30">
        <f>IFERROR(__xludf.DUMMYFUNCTION("((K10-('HV (Max.) - A1'!R8*-1))*100)/K10"),4.948055508026714)</f>
        <v>4.948055508</v>
      </c>
      <c r="S10" s="30">
        <f>IFERROR(__xludf.DUMMYFUNCTION("((K10-('HV (Max.) - A1'!S8*-1))*100)/K10"),0.9674255348550739)</f>
        <v>0.9674255349</v>
      </c>
    </row>
    <row r="11">
      <c r="A11" s="14" t="s">
        <v>22</v>
      </c>
      <c r="B11" s="27">
        <f>IFERROR(__xludf.DUMMYFUNCTION("('HV (Max.) - A1'!B9) * -1"),0.8833550491)</f>
        <v>0.8833550491</v>
      </c>
      <c r="C11" s="28">
        <f>IFERROR(__xludf.DUMMYFUNCTION("((B11-('HV (Max.) - A1'!C9*-1))*100)/B11"),75.9931831469055)</f>
        <v>75.99318315</v>
      </c>
      <c r="D11" s="28">
        <f>IFERROR(__xludf.DUMMYFUNCTION("((B11-('HV (Max.) - A1'!D9*-1))*100)/B11"),71.18027921396073)</f>
        <v>71.18027921</v>
      </c>
      <c r="E11" s="28">
        <f>IFERROR(__xludf.DUMMYFUNCTION("((B11-('HV (Max.) - A1'!E9*-1))*100)/B11"),12.342209750324045)</f>
        <v>12.34220975</v>
      </c>
      <c r="F11" s="28">
        <f>IFERROR(__xludf.DUMMYFUNCTION("((B11-('HV (Max.) - A1'!F9*-1))*100)/B11"),5.899262686401497)</f>
        <v>5.899262686</v>
      </c>
      <c r="G11" s="28">
        <f>IFERROR(__xludf.DUMMYFUNCTION("((B11-('HV (Max.) - A1'!G9*-1))*100)/B11"),1.403836250512686)</f>
        <v>1.403836251</v>
      </c>
      <c r="H11" s="28">
        <f>IFERROR(__xludf.DUMMYFUNCTION("((B11-('HV (Max.) - A1'!H9*-1))*100)/B11"),0.8737539121855603)</f>
        <v>0.8737539122</v>
      </c>
      <c r="I11" s="28">
        <f>IFERROR(__xludf.DUMMYFUNCTION("((B11-('HV (Max.) - A1'!I9*-1))*100)/B11"),9.245990701384887)</f>
        <v>9.245990701</v>
      </c>
      <c r="J11" s="28">
        <f>IFERROR(__xludf.DUMMYFUNCTION("((B11-('HV (Max.) - A1'!J9*-1))*100)/B11"),2.2750743339810646)</f>
        <v>2.275074334</v>
      </c>
      <c r="K11" s="29">
        <f>IFERROR(__xludf.DUMMYFUNCTION("('HV (Max.) - A1'!K9) * -1"),0.8372540812)</f>
        <v>0.8372540812</v>
      </c>
      <c r="L11" s="30">
        <f>IFERROR(__xludf.DUMMYFUNCTION("((K11-('HV (Max.) - A1'!L9*-1))*100)/K11"),79.38615413464049)</f>
        <v>79.38615413</v>
      </c>
      <c r="M11" s="30">
        <f>IFERROR(__xludf.DUMMYFUNCTION("((K11-('HV (Max.) - A1'!M9*-1))*100)/K11"),74.88352302820641)</f>
        <v>74.88352303</v>
      </c>
      <c r="N11" s="30">
        <f>IFERROR(__xludf.DUMMYFUNCTION("((K11-('HV (Max.) - A1'!N9*-1))*100)/K11"),11.629949568049948)</f>
        <v>11.62994957</v>
      </c>
      <c r="O11" s="30">
        <f>IFERROR(__xludf.DUMMYFUNCTION("((K11-('HV (Max.) - A1'!O9*-1))*100)/K11"),4.131997511486126)</f>
        <v>4.131997511</v>
      </c>
      <c r="P11" s="30">
        <f>IFERROR(__xludf.DUMMYFUNCTION("((K11-('HV (Max.) - A1'!P9*-1))*100)/K11"),1.1678171918835234)</f>
        <v>1.167817192</v>
      </c>
      <c r="Q11" s="30">
        <f>IFERROR(__xludf.DUMMYFUNCTION("((K11-('HV (Max.) - A1'!Q9*-1))*100)/K11"),0.623225543734734)</f>
        <v>0.6232255437</v>
      </c>
      <c r="R11" s="30">
        <f>IFERROR(__xludf.DUMMYFUNCTION("((K11-('HV (Max.) - A1'!R9*-1))*100)/K11"),11.450107172078363)</f>
        <v>11.45010717</v>
      </c>
      <c r="S11" s="30">
        <f>IFERROR(__xludf.DUMMYFUNCTION("((K11-('HV (Max.) - A1'!S9*-1))*100)/K11"),1.93165316994576)</f>
        <v>1.93165317</v>
      </c>
    </row>
    <row r="12">
      <c r="A12" s="14" t="s">
        <v>23</v>
      </c>
      <c r="B12" s="27">
        <f>IFERROR(__xludf.DUMMYFUNCTION("('HV (Max.) - A1'!B10) * -1"),0.9423957649)</f>
        <v>0.9423957649</v>
      </c>
      <c r="C12" s="28">
        <f>IFERROR(__xludf.DUMMYFUNCTION("((B12-('HV (Max.) - A1'!C10*-1))*100)/B12"),80.52755341918663)</f>
        <v>80.52755342</v>
      </c>
      <c r="D12" s="28">
        <f>IFERROR(__xludf.DUMMYFUNCTION("((B12-('HV (Max.) - A1'!D10*-1))*100)/B12"),80.52755341918663)</f>
        <v>80.52755342</v>
      </c>
      <c r="E12" s="28">
        <f>IFERROR(__xludf.DUMMYFUNCTION("((B12-('HV (Max.) - A1'!E10*-1))*100)/B12"),10.376952077068909)</f>
        <v>10.37695208</v>
      </c>
      <c r="F12" s="28">
        <f>IFERROR(__xludf.DUMMYFUNCTION("((B12-('HV (Max.) - A1'!F10*-1))*100)/B12"),5.337607104520212)</f>
        <v>5.337607105</v>
      </c>
      <c r="G12" s="28">
        <f>IFERROR(__xludf.DUMMYFUNCTION("((B12-('HV (Max.) - A1'!G10*-1))*100)/B12"),1.2217438711878879)</f>
        <v>1.221743871</v>
      </c>
      <c r="H12" s="28">
        <f>IFERROR(__xludf.DUMMYFUNCTION("((B12-('HV (Max.) - A1'!H10*-1))*100)/B12"),0.7206627780973406)</f>
        <v>0.7206627781</v>
      </c>
      <c r="I12" s="28">
        <f>IFERROR(__xludf.DUMMYFUNCTION("((B12-('HV (Max.) - A1'!I10*-1))*100)/B12"),8.208604906900089)</f>
        <v>8.208604907</v>
      </c>
      <c r="J12" s="28">
        <f>IFERROR(__xludf.DUMMYFUNCTION("((B12-('HV (Max.) - A1'!J10*-1))*100)/B12"),3.725568790488518)</f>
        <v>3.72556879</v>
      </c>
      <c r="K12" s="29">
        <f>IFERROR(__xludf.DUMMYFUNCTION("('HV (Max.) - A1'!K10) * -1"),0.9316661061)</f>
        <v>0.9316661061</v>
      </c>
      <c r="L12" s="30">
        <f>IFERROR(__xludf.DUMMYFUNCTION("((K12-('HV (Max.) - A1'!L10*-1))*100)/K12"),76.1576686276749)</f>
        <v>76.15766863</v>
      </c>
      <c r="M12" s="30">
        <f>IFERROR(__xludf.DUMMYFUNCTION("((K12-('HV (Max.) - A1'!M10*-1))*100)/K12"),75.56869583322926)</f>
        <v>75.56869583</v>
      </c>
      <c r="N12" s="30">
        <f>IFERROR(__xludf.DUMMYFUNCTION("((K12-('HV (Max.) - A1'!N10*-1))*100)/K12"),18.986391148269767)</f>
        <v>18.98639115</v>
      </c>
      <c r="O12" s="30">
        <f>IFERROR(__xludf.DUMMYFUNCTION("((K12-('HV (Max.) - A1'!O10*-1))*100)/K12"),4.413513750342064)</f>
        <v>4.41351375</v>
      </c>
      <c r="P12" s="30">
        <f>IFERROR(__xludf.DUMMYFUNCTION("((K12-('HV (Max.) - A1'!P10*-1))*100)/K12"),3.4253344080088994)</f>
        <v>3.425334408</v>
      </c>
      <c r="Q12" s="30">
        <f>IFERROR(__xludf.DUMMYFUNCTION("((K12-('HV (Max.) - A1'!Q10*-1))*100)/K12"),7.01281547887363)</f>
        <v>7.012815479</v>
      </c>
      <c r="R12" s="30">
        <f>IFERROR(__xludf.DUMMYFUNCTION("((K12-('HV (Max.) - A1'!R10*-1))*100)/K12"),7.119270226288637)</f>
        <v>7.119270226</v>
      </c>
      <c r="S12" s="30">
        <f>IFERROR(__xludf.DUMMYFUNCTION("((K12-('HV (Max.) - A1'!S10*-1))*100)/K12"),2.9126442319119183)</f>
        <v>2.912644232</v>
      </c>
    </row>
    <row r="13">
      <c r="A13" s="14" t="s">
        <v>24</v>
      </c>
      <c r="B13" s="27">
        <f>IFERROR(__xludf.DUMMYFUNCTION("('HV (Max.) - A1'!B11) * -1"),0.9029956576)</f>
        <v>0.9029956576</v>
      </c>
      <c r="C13" s="28">
        <f>IFERROR(__xludf.DUMMYFUNCTION("((B13-('HV (Max.) - A1'!C11*-1))*100)/B13"),64.87144078377017)</f>
        <v>64.87144078</v>
      </c>
      <c r="D13" s="28">
        <f>IFERROR(__xludf.DUMMYFUNCTION("((B13-('HV (Max.) - A1'!D11*-1))*100)/B13"),62.533653827395774)</f>
        <v>62.53365383</v>
      </c>
      <c r="E13" s="28">
        <f>IFERROR(__xludf.DUMMYFUNCTION("((B13-('HV (Max.) - A1'!E11*-1))*100)/B13"),20.438204663189296)</f>
        <v>20.43820466</v>
      </c>
      <c r="F13" s="28">
        <f>IFERROR(__xludf.DUMMYFUNCTION("((B13-('HV (Max.) - A1'!F11*-1))*100)/B13"),6.630174142711187)</f>
        <v>6.630174143</v>
      </c>
      <c r="G13" s="28">
        <f>IFERROR(__xludf.DUMMYFUNCTION("((B13-('HV (Max.) - A1'!G11*-1))*100)/B13"),4.528436184143173)</f>
        <v>4.528436184</v>
      </c>
      <c r="H13" s="28">
        <f>IFERROR(__xludf.DUMMYFUNCTION("((B13-('HV (Max.) - A1'!H11*-1))*100)/B13"),1.7472276491266248)</f>
        <v>1.747227649</v>
      </c>
      <c r="I13" s="28">
        <f>IFERROR(__xludf.DUMMYFUNCTION("((B13-('HV (Max.) - A1'!I11*-1))*100)/B13"),12.327859526574978)</f>
        <v>12.32785953</v>
      </c>
      <c r="J13" s="28">
        <f>IFERROR(__xludf.DUMMYFUNCTION("((B13-('HV (Max.) - A1'!J11*-1))*100)/B13"),3.3185439429072146)</f>
        <v>3.318543943</v>
      </c>
      <c r="K13" s="29">
        <f>IFERROR(__xludf.DUMMYFUNCTION("('HV (Max.) - A1'!K11) * -1"),0.5998339578)</f>
        <v>0.5998339578</v>
      </c>
      <c r="L13" s="30">
        <f>IFERROR(__xludf.DUMMYFUNCTION("((K13-('HV (Max.) - A1'!L11*-1))*100)/K13"),58.34938821798061)</f>
        <v>58.34938822</v>
      </c>
      <c r="M13" s="30">
        <f>IFERROR(__xludf.DUMMYFUNCTION("((K13-('HV (Max.) - A1'!M11*-1))*100)/K13"),58.31031130395265)</f>
        <v>58.3103113</v>
      </c>
      <c r="N13" s="30">
        <f>IFERROR(__xludf.DUMMYFUNCTION("((K13-('HV (Max.) - A1'!N11*-1))*100)/K13"),-12.849500865654393)</f>
        <v>-12.84950087</v>
      </c>
      <c r="O13" s="30">
        <f>IFERROR(__xludf.DUMMYFUNCTION("((K13-('HV (Max.) - A1'!O11*-1))*100)/K13"),-37.986025672119744)</f>
        <v>-37.98602567</v>
      </c>
      <c r="P13" s="30">
        <f>IFERROR(__xludf.DUMMYFUNCTION("((K13-('HV (Max.) - A1'!P11*-1))*100)/K13"),-46.00620200165666)</f>
        <v>-46.006202</v>
      </c>
      <c r="Q13" s="30">
        <f>IFERROR(__xludf.DUMMYFUNCTION("((K13-('HV (Max.) - A1'!Q11*-1))*100)/K13"),-40.842635835179784)</f>
        <v>-40.84263584</v>
      </c>
      <c r="R13" s="30">
        <f>IFERROR(__xludf.DUMMYFUNCTION("((K13-('HV (Max.) - A1'!R11*-1))*100)/K13"),-24.28524437567277)</f>
        <v>-24.28524438</v>
      </c>
      <c r="S13" s="30">
        <f>IFERROR(__xludf.DUMMYFUNCTION("((K13-('HV (Max.) - A1'!S11*-1))*100)/K13"),-43.83720497659359)</f>
        <v>-43.83720498</v>
      </c>
    </row>
    <row r="14">
      <c r="A14" s="14" t="s">
        <v>25</v>
      </c>
      <c r="B14" s="27">
        <f>IFERROR(__xludf.DUMMYFUNCTION("('HV (Max.) - A1'!B12) * -1"),0.7349594112)</f>
        <v>0.7349594112</v>
      </c>
      <c r="C14" s="28">
        <f>IFERROR(__xludf.DUMMYFUNCTION("((B14-('HV (Max.) - A1'!C12*-1))*100)/B14"),54.183765910255474)</f>
        <v>54.18376591</v>
      </c>
      <c r="D14" s="28">
        <f>IFERROR(__xludf.DUMMYFUNCTION("((B14-('HV (Max.) - A1'!D12*-1))*100)/B14"),61.2582658768735)</f>
        <v>61.25826588</v>
      </c>
      <c r="E14" s="28">
        <f>IFERROR(__xludf.DUMMYFUNCTION("((B14-('HV (Max.) - A1'!E12*-1))*100)/B14"),-2.4371517293389275)</f>
        <v>-2.437151729</v>
      </c>
      <c r="F14" s="28">
        <f>IFERROR(__xludf.DUMMYFUNCTION("((B14-('HV (Max.) - A1'!F12*-1))*100)/B14"),-15.233969032003053)</f>
        <v>-15.23396903</v>
      </c>
      <c r="G14" s="28">
        <f>IFERROR(__xludf.DUMMYFUNCTION("((B14-('HV (Max.) - A1'!G12*-1))*100)/B14"),-22.563504116402566)</f>
        <v>-22.56350412</v>
      </c>
      <c r="H14" s="28">
        <f>IFERROR(__xludf.DUMMYFUNCTION("((B14-('HV (Max.) - A1'!H12*-1))*100)/B14"),-21.935097522838554)</f>
        <v>-21.93509752</v>
      </c>
      <c r="I14" s="28">
        <f>IFERROR(__xludf.DUMMYFUNCTION("((B14-('HV (Max.) - A1'!I12*-1))*100)/B14"),-13.908750040100175)</f>
        <v>-13.90875004</v>
      </c>
      <c r="J14" s="28">
        <f>IFERROR(__xludf.DUMMYFUNCTION("((B14-('HV (Max.) - A1'!J12*-1))*100)/B14"),-21.25491017863709)</f>
        <v>-21.25491018</v>
      </c>
      <c r="K14" s="29">
        <f>IFERROR(__xludf.DUMMYFUNCTION("('HV (Max.) - A1'!K12) * -1"),0.8769586057)</f>
        <v>0.8769586057</v>
      </c>
      <c r="L14" s="30">
        <f>IFERROR(__xludf.DUMMYFUNCTION("((K14-('HV (Max.) - A1'!L12*-1))*100)/K14"),81.49023489307893)</f>
        <v>81.49023489</v>
      </c>
      <c r="M14" s="30">
        <f>IFERROR(__xludf.DUMMYFUNCTION("((K14-('HV (Max.) - A1'!M12*-1))*100)/K14"),81.51635733472112)</f>
        <v>81.51635733</v>
      </c>
      <c r="N14" s="30">
        <f>IFERROR(__xludf.DUMMYFUNCTION("((K14-('HV (Max.) - A1'!N12*-1))*100)/K14"),19.482567796187137)</f>
        <v>19.4825678</v>
      </c>
      <c r="O14" s="30">
        <f>IFERROR(__xludf.DUMMYFUNCTION("((K14-('HV (Max.) - A1'!O12*-1))*100)/K14"),6.11269809676034)</f>
        <v>6.112698097</v>
      </c>
      <c r="P14" s="30">
        <f>IFERROR(__xludf.DUMMYFUNCTION("((K14-('HV (Max.) - A1'!P12*-1))*100)/K14"),2.6492208467987344)</f>
        <v>2.649220847</v>
      </c>
      <c r="Q14" s="30">
        <f>IFERROR(__xludf.DUMMYFUNCTION("((K14-('HV (Max.) - A1'!Q12*-1))*100)/K14"),10.772296946056414)</f>
        <v>10.77229695</v>
      </c>
      <c r="R14" s="30">
        <f>IFERROR(__xludf.DUMMYFUNCTION("((K14-('HV (Max.) - A1'!R12*-1))*100)/K14"),11.615586304520143)</f>
        <v>11.6155863</v>
      </c>
      <c r="S14" s="30">
        <f>IFERROR(__xludf.DUMMYFUNCTION("((K14-('HV (Max.) - A1'!S12*-1))*100)/K14"),4.129470953887681)</f>
        <v>4.129470954</v>
      </c>
    </row>
    <row r="15">
      <c r="A15" s="14" t="s">
        <v>26</v>
      </c>
      <c r="B15" s="27">
        <f>IFERROR(__xludf.DUMMYFUNCTION("('HV (Max.) - A1'!B13) * -1"),0.4292341892)</f>
        <v>0.4292341892</v>
      </c>
      <c r="C15" s="28">
        <f>IFERROR(__xludf.DUMMYFUNCTION("((B15-('HV (Max.) - A1'!C13*-1))*100)/B15"),54.71787998475681)</f>
        <v>54.71787998</v>
      </c>
      <c r="D15" s="28">
        <f>IFERROR(__xludf.DUMMYFUNCTION("((B15-('HV (Max.) - A1'!D13*-1))*100)/B15"),50.941116155618666)</f>
        <v>50.94111616</v>
      </c>
      <c r="E15" s="28">
        <f>IFERROR(__xludf.DUMMYFUNCTION("((B15-('HV (Max.) - A1'!E13*-1))*100)/B15"),-59.058838433273614)</f>
        <v>-59.05883843</v>
      </c>
      <c r="F15" s="28">
        <f>IFERROR(__xludf.DUMMYFUNCTION("((B15-('HV (Max.) - A1'!F13*-1))*100)/B15"),-108.09437444038531)</f>
        <v>-108.0943744</v>
      </c>
      <c r="G15" s="28">
        <f>IFERROR(__xludf.DUMMYFUNCTION("((B15-('HV (Max.) - A1'!G13*-1))*100)/B15"),-119.57122662026755)</f>
        <v>-119.5712266</v>
      </c>
      <c r="H15" s="28">
        <f>IFERROR(__xludf.DUMMYFUNCTION("((B15-('HV (Max.) - A1'!H13*-1))*100)/B15"),-106.99059100020078)</f>
        <v>-106.990591</v>
      </c>
      <c r="I15" s="28">
        <f>IFERROR(__xludf.DUMMYFUNCTION("((B15-('HV (Max.) - A1'!I13*-1))*100)/B15"),-103.08557037935039)</f>
        <v>-103.0855704</v>
      </c>
      <c r="J15" s="28">
        <f>IFERROR(__xludf.DUMMYFUNCTION("((B15-('HV (Max.) - A1'!J13*-1))*100)/B15"),-117.54078437701484)</f>
        <v>-117.5407844</v>
      </c>
      <c r="K15" s="29">
        <f>IFERROR(__xludf.DUMMYFUNCTION("('HV (Max.) - A1'!K13) * -1"),0.8701827087)</f>
        <v>0.8701827087</v>
      </c>
      <c r="L15" s="30">
        <f>IFERROR(__xludf.DUMMYFUNCTION("((K15-('HV (Max.) - A1'!L13*-1))*100)/K15"),65.77697484417963)</f>
        <v>65.77697484</v>
      </c>
      <c r="M15" s="30">
        <f>IFERROR(__xludf.DUMMYFUNCTION("((K15-('HV (Max.) - A1'!M13*-1))*100)/K15"),64.2586968816426)</f>
        <v>64.25869688</v>
      </c>
      <c r="N15" s="30">
        <f>IFERROR(__xludf.DUMMYFUNCTION("((K15-('HV (Max.) - A1'!N13*-1))*100)/K15"),13.437654440949483)</f>
        <v>13.43765444</v>
      </c>
      <c r="O15" s="30">
        <f>IFERROR(__xludf.DUMMYFUNCTION("((K15-('HV (Max.) - A1'!O13*-1))*100)/K15"),7.5630550965922705)</f>
        <v>7.563055097</v>
      </c>
      <c r="P15" s="30">
        <f>IFERROR(__xludf.DUMMYFUNCTION("((K15-('HV (Max.) - A1'!P13*-1))*100)/K15"),4.859854140652613)</f>
        <v>4.859854141</v>
      </c>
      <c r="Q15" s="30">
        <f>IFERROR(__xludf.DUMMYFUNCTION("((K15-('HV (Max.) - A1'!Q13*-1))*100)/K15"),2.123088440541439)</f>
        <v>2.123088441</v>
      </c>
      <c r="R15" s="30">
        <f>IFERROR(__xludf.DUMMYFUNCTION("((K15-('HV (Max.) - A1'!R13*-1))*100)/K15"),9.247665127731583)</f>
        <v>9.247665128</v>
      </c>
      <c r="S15" s="30">
        <f>IFERROR(__xludf.DUMMYFUNCTION("((K15-('HV (Max.) - A1'!S13*-1))*100)/K15"),2.916221552817442)</f>
        <v>2.916221553</v>
      </c>
    </row>
    <row r="16">
      <c r="A16" s="14" t="s">
        <v>27</v>
      </c>
      <c r="B16" s="27">
        <f>IFERROR(__xludf.DUMMYFUNCTION("('HV (Max.) - A1'!B14) * -1"),0.7787428581)</f>
        <v>0.7787428581</v>
      </c>
      <c r="C16" s="28">
        <f>IFERROR(__xludf.DUMMYFUNCTION("((B16-('HV (Max.) - A1'!C14*-1))*100)/B16"),54.73954161712009)</f>
        <v>54.73954162</v>
      </c>
      <c r="D16" s="28">
        <f>IFERROR(__xludf.DUMMYFUNCTION("((B16-('HV (Max.) - A1'!D14*-1))*100)/B16"),64.80062699145799)</f>
        <v>64.80062699</v>
      </c>
      <c r="E16" s="28">
        <f>IFERROR(__xludf.DUMMYFUNCTION("((B16-('HV (Max.) - A1'!E14*-1))*100)/B16"),-10.512493032647177)</f>
        <v>-10.51249303</v>
      </c>
      <c r="F16" s="28">
        <f>IFERROR(__xludf.DUMMYFUNCTION("((B16-('HV (Max.) - A1'!F14*-1))*100)/B16"),-7.856373931861292)</f>
        <v>-7.856373932</v>
      </c>
      <c r="G16" s="28">
        <f>IFERROR(__xludf.DUMMYFUNCTION("((B16-('HV (Max.) - A1'!G14*-1))*100)/B16"),-15.788611763321162)</f>
        <v>-15.78861176</v>
      </c>
      <c r="H16" s="28">
        <f>IFERROR(__xludf.DUMMYFUNCTION("((B16-('HV (Max.) - A1'!H14*-1))*100)/B16"),-16.43894901486994)</f>
        <v>-16.43894901</v>
      </c>
      <c r="I16" s="28">
        <f>IFERROR(__xludf.DUMMYFUNCTION("((B16-('HV (Max.) - A1'!I14*-1))*100)/B16"),-0.3362680598303213)</f>
        <v>-0.3362680598</v>
      </c>
      <c r="J16" s="28">
        <f>IFERROR(__xludf.DUMMYFUNCTION("((B16-('HV (Max.) - A1'!J14*-1))*100)/B16"),-13.964005020259972)</f>
        <v>-13.96400502</v>
      </c>
      <c r="K16" s="29">
        <f>IFERROR(__xludf.DUMMYFUNCTION("('HV (Max.) - A1'!K14) * -1"),0.2591399901)</f>
        <v>0.2591399901</v>
      </c>
      <c r="L16" s="30">
        <f>IFERROR(__xludf.DUMMYFUNCTION("((K16-('HV (Max.) - A1'!L14*-1))*100)/K16"),18.16487361978949)</f>
        <v>18.16487362</v>
      </c>
      <c r="M16" s="30">
        <f>IFERROR(__xludf.DUMMYFUNCTION("((K16-('HV (Max.) - A1'!M14*-1))*100)/K16"),18.808988138492637)</f>
        <v>18.80898814</v>
      </c>
      <c r="N16" s="30">
        <f>IFERROR(__xludf.DUMMYFUNCTION("((K16-('HV (Max.) - A1'!N14*-1))*100)/K16"),-148.48854773495648)</f>
        <v>-148.4885477</v>
      </c>
      <c r="O16" s="30">
        <f>IFERROR(__xludf.DUMMYFUNCTION("((K16-('HV (Max.) - A1'!O14*-1))*100)/K16"),-213.20908871949518)</f>
        <v>-213.2090887</v>
      </c>
      <c r="P16" s="30">
        <f>IFERROR(__xludf.DUMMYFUNCTION("((K16-('HV (Max.) - A1'!P14*-1))*100)/K16"),-226.25836516924375)</f>
        <v>-226.2583652</v>
      </c>
      <c r="Q16" s="30">
        <f>IFERROR(__xludf.DUMMYFUNCTION("((K16-('HV (Max.) - A1'!Q14*-1))*100)/K16"),-201.569675447788)</f>
        <v>-201.5696754</v>
      </c>
      <c r="R16" s="30">
        <f>IFERROR(__xludf.DUMMYFUNCTION("((K16-('HV (Max.) - A1'!R14*-1))*100)/K16"),-186.26119373306253)</f>
        <v>-186.2611937</v>
      </c>
      <c r="S16" s="30">
        <f>IFERROR(__xludf.DUMMYFUNCTION("((K16-('HV (Max.) - A1'!S14*-1))*100)/K16"),-224.2496954930616)</f>
        <v>-224.2496955</v>
      </c>
    </row>
    <row r="17">
      <c r="A17" s="14" t="s">
        <v>28</v>
      </c>
      <c r="B17" s="27">
        <f>IFERROR(__xludf.DUMMYFUNCTION("('HV (Max.) - A1'!B15) * -1"),0.7915556136)</f>
        <v>0.7915556136</v>
      </c>
      <c r="C17" s="28">
        <f>IFERROR(__xludf.DUMMYFUNCTION("((B17-('HV (Max.) - A1'!C15*-1))*100)/B17"),67.01074607854945)</f>
        <v>67.01074608</v>
      </c>
      <c r="D17" s="28">
        <f>IFERROR(__xludf.DUMMYFUNCTION("((B17-('HV (Max.) - A1'!D15*-1))*100)/B17"),65.2485575651535)</f>
        <v>65.24855757</v>
      </c>
      <c r="E17" s="28">
        <f>IFERROR(__xludf.DUMMYFUNCTION("((B17-('HV (Max.) - A1'!E15*-1))*100)/B17"),-2.793975511008861)</f>
        <v>-2.793975511</v>
      </c>
      <c r="F17" s="28">
        <f>IFERROR(__xludf.DUMMYFUNCTION("((B17-('HV (Max.) - A1'!F15*-1))*100)/B17"),-10.000749832342537)</f>
        <v>-10.00074983</v>
      </c>
      <c r="G17" s="28">
        <f>IFERROR(__xludf.DUMMYFUNCTION("((B17-('HV (Max.) - A1'!G15*-1))*100)/B17"),-13.888917078106354)</f>
        <v>-13.88891708</v>
      </c>
      <c r="H17" s="28">
        <f>IFERROR(__xludf.DUMMYFUNCTION("((B17-('HV (Max.) - A1'!H15*-1))*100)/B17"),-15.211034680482236)</f>
        <v>-15.21103468</v>
      </c>
      <c r="I17" s="28">
        <f>IFERROR(__xludf.DUMMYFUNCTION("((B17-('HV (Max.) - A1'!I15*-1))*100)/B17"),-4.894050239099953)</f>
        <v>-4.894050239</v>
      </c>
      <c r="J17" s="28">
        <f>IFERROR(__xludf.DUMMYFUNCTION("((B17-('HV (Max.) - A1'!J15*-1))*100)/B17"),-15.099432098828835)</f>
        <v>-15.0994321</v>
      </c>
      <c r="K17" s="29">
        <f>IFERROR(__xludf.DUMMYFUNCTION("('HV (Max.) - A1'!K15) * -1"),0.7119567421)</f>
        <v>0.7119567421</v>
      </c>
      <c r="L17" s="30">
        <f>IFERROR(__xludf.DUMMYFUNCTION("((K17-('HV (Max.) - A1'!L15*-1))*100)/K17"),71.15829623379585)</f>
        <v>71.15829623</v>
      </c>
      <c r="M17" s="30">
        <f>IFERROR(__xludf.DUMMYFUNCTION("((K17-('HV (Max.) - A1'!M15*-1))*100)/K17"),69.88301942790184)</f>
        <v>69.88301943</v>
      </c>
      <c r="N17" s="30">
        <f>IFERROR(__xludf.DUMMYFUNCTION("((K17-('HV (Max.) - A1'!N15*-1))*100)/K17"),-2.8146721443906535)</f>
        <v>-2.814672144</v>
      </c>
      <c r="O17" s="30">
        <f>IFERROR(__xludf.DUMMYFUNCTION("((K17-('HV (Max.) - A1'!O15*-1))*100)/K17"),-13.818936893525622)</f>
        <v>-13.81893689</v>
      </c>
      <c r="P17" s="30">
        <f>IFERROR(__xludf.DUMMYFUNCTION("((K17-('HV (Max.) - A1'!P15*-1))*100)/K17"),-18.119876907055136)</f>
        <v>-18.11987691</v>
      </c>
      <c r="Q17" s="30">
        <f>IFERROR(__xludf.DUMMYFUNCTION("((K17-('HV (Max.) - A1'!Q15*-1))*100)/K17"),-15.198566598418623)</f>
        <v>-15.1985666</v>
      </c>
      <c r="R17" s="30">
        <f>IFERROR(__xludf.DUMMYFUNCTION("((K17-('HV (Max.) - A1'!R15*-1))*100)/K17"),-9.180066798330838)</f>
        <v>-9.180066798</v>
      </c>
      <c r="S17" s="30">
        <f>IFERROR(__xludf.DUMMYFUNCTION("((K17-('HV (Max.) - A1'!S15*-1))*100)/K17"),-17.838547441153587)</f>
        <v>-17.83854744</v>
      </c>
    </row>
    <row r="18">
      <c r="A18" s="14" t="s">
        <v>29</v>
      </c>
      <c r="B18" s="27">
        <f>IFERROR(__xludf.DUMMYFUNCTION("('HV (Max.) - A1'!B16) * -1"),0.9250449783)</f>
        <v>0.9250449783</v>
      </c>
      <c r="C18" s="28">
        <f>IFERROR(__xludf.DUMMYFUNCTION("((B18-('HV (Max.) - A1'!C16*-1))*100)/B18"),76.04541350981354)</f>
        <v>76.04541351</v>
      </c>
      <c r="D18" s="28">
        <f>IFERROR(__xludf.DUMMYFUNCTION("((B18-('HV (Max.) - A1'!D16*-1))*100)/B18"),75.63221076944254)</f>
        <v>75.63221077</v>
      </c>
      <c r="E18" s="28">
        <f>IFERROR(__xludf.DUMMYFUNCTION("((B18-('HV (Max.) - A1'!E16*-1))*100)/B18"),13.49924877485279)</f>
        <v>13.49924877</v>
      </c>
      <c r="F18" s="28">
        <f>IFERROR(__xludf.DUMMYFUNCTION("((B18-('HV (Max.) - A1'!F16*-1))*100)/B18"),8.833602702235215)</f>
        <v>8.833602702</v>
      </c>
      <c r="G18" s="28">
        <f>IFERROR(__xludf.DUMMYFUNCTION("((B18-('HV (Max.) - A1'!G16*-1))*100)/B18"),4.070177600357664)</f>
        <v>4.0701776</v>
      </c>
      <c r="H18" s="28">
        <f>IFERROR(__xludf.DUMMYFUNCTION("((B18-('HV (Max.) - A1'!H16*-1))*100)/B18"),9.004911583119284)</f>
        <v>9.004911583</v>
      </c>
      <c r="I18" s="28">
        <f>IFERROR(__xludf.DUMMYFUNCTION("((B18-('HV (Max.) - A1'!I16*-1))*100)/B18"),21.1580085175627)</f>
        <v>21.15800852</v>
      </c>
      <c r="J18" s="28">
        <f>IFERROR(__xludf.DUMMYFUNCTION("((B18-('HV (Max.) - A1'!J16*-1))*100)/B18"),4.582236312216736)</f>
        <v>4.582236312</v>
      </c>
      <c r="K18" s="29">
        <f>IFERROR(__xludf.DUMMYFUNCTION("('HV (Max.) - A1'!K16) * -1"),0.9229328257)</f>
        <v>0.9229328257</v>
      </c>
      <c r="L18" s="30">
        <f>IFERROR(__xludf.DUMMYFUNCTION("((K18-('HV (Max.) - A1'!L16*-1))*100)/K18"),78.39123220601256)</f>
        <v>78.39123221</v>
      </c>
      <c r="M18" s="30">
        <f>IFERROR(__xludf.DUMMYFUNCTION("((K18-('HV (Max.) - A1'!M16*-1))*100)/K18"),77.96409520424754)</f>
        <v>77.9640952</v>
      </c>
      <c r="N18" s="30">
        <f>IFERROR(__xludf.DUMMYFUNCTION("((K18-('HV (Max.) - A1'!N16*-1))*100)/K18"),14.363544432332354)</f>
        <v>14.36354443</v>
      </c>
      <c r="O18" s="30">
        <f>IFERROR(__xludf.DUMMYFUNCTION("((K18-('HV (Max.) - A1'!O16*-1))*100)/K18"),8.909259797714444)</f>
        <v>8.909259798</v>
      </c>
      <c r="P18" s="30">
        <f>IFERROR(__xludf.DUMMYFUNCTION("((K18-('HV (Max.) - A1'!P16*-1))*100)/K18"),5.510022840657975)</f>
        <v>5.510022841</v>
      </c>
      <c r="Q18" s="30">
        <f>IFERROR(__xludf.DUMMYFUNCTION("((K18-('HV (Max.) - A1'!Q16*-1))*100)/K18"),2.7837309048482393)</f>
        <v>2.783730905</v>
      </c>
      <c r="R18" s="30">
        <f>IFERROR(__xludf.DUMMYFUNCTION("((K18-('HV (Max.) - A1'!R16*-1))*100)/K18"),26.602911009669597)</f>
        <v>26.60291101</v>
      </c>
      <c r="S18" s="30">
        <f>IFERROR(__xludf.DUMMYFUNCTION("((K18-('HV (Max.) - A1'!S16*-1))*100)/K18"),5.9513624036874475)</f>
        <v>5.951362404</v>
      </c>
    </row>
    <row r="19">
      <c r="A19" s="14" t="s">
        <v>30</v>
      </c>
      <c r="B19" s="27">
        <f>IFERROR(__xludf.DUMMYFUNCTION("('HV (Max.) - A1'!B17) * -1"),0.9581274235)</f>
        <v>0.9581274235</v>
      </c>
      <c r="C19" s="28">
        <f>IFERROR(__xludf.DUMMYFUNCTION("((B19-('HV (Max.) - A1'!C17*-1))*100)/B19"),72.76856135200686)</f>
        <v>72.76856135</v>
      </c>
      <c r="D19" s="28">
        <f>IFERROR(__xludf.DUMMYFUNCTION("((B19-('HV (Max.) - A1'!D17*-1))*100)/B19"),69.12351443617771)</f>
        <v>69.12351444</v>
      </c>
      <c r="E19" s="28">
        <f>IFERROR(__xludf.DUMMYFUNCTION("((B19-('HV (Max.) - A1'!E17*-1))*100)/B19"),12.222583064391335)</f>
        <v>12.22258306</v>
      </c>
      <c r="F19" s="28">
        <f>IFERROR(__xludf.DUMMYFUNCTION("((B19-('HV (Max.) - A1'!F17*-1))*100)/B19"),7.679426618561871)</f>
        <v>7.679426619</v>
      </c>
      <c r="G19" s="28">
        <f>IFERROR(__xludf.DUMMYFUNCTION("((B19-('HV (Max.) - A1'!G17*-1))*100)/B19"),3.1765851966557332)</f>
        <v>3.176585197</v>
      </c>
      <c r="H19" s="28">
        <f>IFERROR(__xludf.DUMMYFUNCTION("((B19-('HV (Max.) - A1'!H17*-1))*100)/B19"),3.8092289506417636)</f>
        <v>3.809228951</v>
      </c>
      <c r="I19" s="28">
        <f>IFERROR(__xludf.DUMMYFUNCTION("((B19-('HV (Max.) - A1'!I17*-1))*100)/B19"),17.52764203184296)</f>
        <v>17.52764203</v>
      </c>
      <c r="J19" s="28">
        <f>IFERROR(__xludf.DUMMYFUNCTION("((B19-('HV (Max.) - A1'!J17*-1))*100)/B19"),3.6589757938391774)</f>
        <v>3.658975794</v>
      </c>
      <c r="K19" s="29">
        <f>IFERROR(__xludf.DUMMYFUNCTION("('HV (Max.) - A1'!K17) * -1"),0.5735725559)</f>
        <v>0.5735725559</v>
      </c>
      <c r="L19" s="30">
        <f>IFERROR(__xludf.DUMMYFUNCTION("((K19-('HV (Max.) - A1'!L17*-1))*100)/K19"),62.43506998658338)</f>
        <v>62.43506999</v>
      </c>
      <c r="M19" s="30">
        <f>IFERROR(__xludf.DUMMYFUNCTION("((K19-('HV (Max.) - A1'!M17*-1))*100)/K19"),60.81994269279857)</f>
        <v>60.81994269</v>
      </c>
      <c r="N19" s="30">
        <f>IFERROR(__xludf.DUMMYFUNCTION("((K19-('HV (Max.) - A1'!N17*-1))*100)/K19"),-32.88916344750796)</f>
        <v>-32.88916345</v>
      </c>
      <c r="O19" s="30">
        <f>IFERROR(__xludf.DUMMYFUNCTION("((K19-('HV (Max.) - A1'!O17*-1))*100)/K19"),-46.79443145232953)</f>
        <v>-46.79443145</v>
      </c>
      <c r="P19" s="30">
        <f>IFERROR(__xludf.DUMMYFUNCTION("((K19-('HV (Max.) - A1'!P17*-1))*100)/K19"),-50.610413366885425)</f>
        <v>-50.61041337</v>
      </c>
      <c r="Q19" s="30">
        <f>IFERROR(__xludf.DUMMYFUNCTION("((K19-('HV (Max.) - A1'!Q17*-1))*100)/K19"),-45.35271602941768)</f>
        <v>-45.35271603</v>
      </c>
      <c r="R19" s="30">
        <f>IFERROR(__xludf.DUMMYFUNCTION("((K19-('HV (Max.) - A1'!R17*-1))*100)/K19"),-49.55548173918479)</f>
        <v>-49.55548174</v>
      </c>
      <c r="S19" s="30">
        <f>IFERROR(__xludf.DUMMYFUNCTION("((K19-('HV (Max.) - A1'!S17*-1))*100)/K19"),-54.63758528478786)</f>
        <v>-54.63758528</v>
      </c>
    </row>
    <row r="20">
      <c r="A20" s="14" t="s">
        <v>31</v>
      </c>
      <c r="B20" s="27">
        <f>IFERROR(__xludf.DUMMYFUNCTION("('HV (Max.) - A1'!B18) * -1"),0.5794312099)</f>
        <v>0.5794312099</v>
      </c>
      <c r="C20" s="28">
        <f>IFERROR(__xludf.DUMMYFUNCTION("((B20-('HV (Max.) - A1'!C18*-1))*100)/B20"),63.62951739579742)</f>
        <v>63.6295174</v>
      </c>
      <c r="D20" s="28">
        <f>IFERROR(__xludf.DUMMYFUNCTION("((B20-('HV (Max.) - A1'!D18*-1))*100)/B20"),62.07889733141556)</f>
        <v>62.07889733</v>
      </c>
      <c r="E20" s="28">
        <f>IFERROR(__xludf.DUMMYFUNCTION("((B20-('HV (Max.) - A1'!E18*-1))*100)/B20"),-28.377599530473624)</f>
        <v>-28.37759953</v>
      </c>
      <c r="F20" s="28">
        <f>IFERROR(__xludf.DUMMYFUNCTION("((B20-('HV (Max.) - A1'!F18*-1))*100)/B20"),-44.137114195857194)</f>
        <v>-44.1371142</v>
      </c>
      <c r="G20" s="28">
        <f>IFERROR(__xludf.DUMMYFUNCTION("((B20-('HV (Max.) - A1'!G18*-1))*100)/B20"),-48.853473417293756)</f>
        <v>-48.85347342</v>
      </c>
      <c r="H20" s="28">
        <f>IFERROR(__xludf.DUMMYFUNCTION("((B20-('HV (Max.) - A1'!H18*-1))*100)/B20"),-45.320889885327524)</f>
        <v>-45.32088989</v>
      </c>
      <c r="I20" s="28">
        <f>IFERROR(__xludf.DUMMYFUNCTION("((B20-('HV (Max.) - A1'!I18*-1))*100)/B20"),-38.72672970769503)</f>
        <v>-38.72672971</v>
      </c>
      <c r="J20" s="28">
        <f>IFERROR(__xludf.DUMMYFUNCTION("((B20-('HV (Max.) - A1'!J18*-1))*100)/B20"),-49.1565670494616)</f>
        <v>-49.15656705</v>
      </c>
      <c r="K20" s="29">
        <f>IFERROR(__xludf.DUMMYFUNCTION("('HV (Max.) - A1'!K18) * -1"),0.6511699478)</f>
        <v>0.6511699478</v>
      </c>
      <c r="L20" s="30">
        <f>IFERROR(__xludf.DUMMYFUNCTION("((K20-('HV (Max.) - A1'!L18*-1))*100)/K20"),61.88070789528533)</f>
        <v>61.8807079</v>
      </c>
      <c r="M20" s="30">
        <f>IFERROR(__xludf.DUMMYFUNCTION("((K20-('HV (Max.) - A1'!M18*-1))*100)/K20"),51.90539180162085)</f>
        <v>51.9053918</v>
      </c>
      <c r="N20" s="30">
        <f>IFERROR(__xludf.DUMMYFUNCTION("((K20-('HV (Max.) - A1'!N18*-1))*100)/K20"),-24.831469502898933)</f>
        <v>-24.8314695</v>
      </c>
      <c r="O20" s="30">
        <f>IFERROR(__xludf.DUMMYFUNCTION("((K20-('HV (Max.) - A1'!O18*-1))*100)/K20"),-31.500065550168806)</f>
        <v>-31.50006555</v>
      </c>
      <c r="P20" s="30">
        <f>IFERROR(__xludf.DUMMYFUNCTION("((K20-('HV (Max.) - A1'!P18*-1))*100)/K20"),-37.73300075197358)</f>
        <v>-37.73300075</v>
      </c>
      <c r="Q20" s="30">
        <f>IFERROR(__xludf.DUMMYFUNCTION("((K20-('HV (Max.) - A1'!Q18*-1))*100)/K20"),-40.01549277271483)</f>
        <v>-40.01549277</v>
      </c>
      <c r="R20" s="30">
        <f>IFERROR(__xludf.DUMMYFUNCTION("((K20-('HV (Max.) - A1'!R18*-1))*100)/K20"),-22.44571228967271)</f>
        <v>-22.44571229</v>
      </c>
      <c r="S20" s="30">
        <f>IFERROR(__xludf.DUMMYFUNCTION("((K20-('HV (Max.) - A1'!S18*-1))*100)/K20"),-36.57641948997818)</f>
        <v>-36.57641949</v>
      </c>
    </row>
    <row r="21">
      <c r="A21" s="14" t="s">
        <v>32</v>
      </c>
      <c r="B21" s="27">
        <f>IFERROR(__xludf.DUMMYFUNCTION("('HV (Max.) - A1'!B19) * -1"),0.7172785944)</f>
        <v>0.7172785944</v>
      </c>
      <c r="C21" s="28">
        <f>IFERROR(__xludf.DUMMYFUNCTION("((B21-('HV (Max.) - A1'!C19*-1))*100)/B21"),61.01198014504697)</f>
        <v>61.01198015</v>
      </c>
      <c r="D21" s="28">
        <f>IFERROR(__xludf.DUMMYFUNCTION("((B21-('HV (Max.) - A1'!D19*-1))*100)/B21"),56.15041363905505)</f>
        <v>56.15041364</v>
      </c>
      <c r="E21" s="28">
        <f>IFERROR(__xludf.DUMMYFUNCTION("((B21-('HV (Max.) - A1'!E19*-1))*100)/B21"),-2.214744539154765)</f>
        <v>-2.214744539</v>
      </c>
      <c r="F21" s="28">
        <f>IFERROR(__xludf.DUMMYFUNCTION("((B21-('HV (Max.) - A1'!F19*-1))*100)/B21"),-17.41043401754692)</f>
        <v>-17.41043402</v>
      </c>
      <c r="G21" s="28">
        <f>IFERROR(__xludf.DUMMYFUNCTION("((B21-('HV (Max.) - A1'!G19*-1))*100)/B21"),-29.794317782306887)</f>
        <v>-29.79431778</v>
      </c>
      <c r="H21" s="28">
        <f>IFERROR(__xludf.DUMMYFUNCTION("((B21-('HV (Max.) - A1'!H19*-1))*100)/B21"),-25.44820820321417)</f>
        <v>-25.4482082</v>
      </c>
      <c r="I21" s="28">
        <f>IFERROR(__xludf.DUMMYFUNCTION("((B21-('HV (Max.) - A1'!I19*-1))*100)/B21"),-21.97003733700157)</f>
        <v>-21.97003734</v>
      </c>
      <c r="J21" s="28">
        <f>IFERROR(__xludf.DUMMYFUNCTION("((B21-('HV (Max.) - A1'!J19*-1))*100)/B21"),-25.517363201547127)</f>
        <v>-25.5173632</v>
      </c>
      <c r="K21" s="29">
        <f>IFERROR(__xludf.DUMMYFUNCTION("('HV (Max.) - A1'!K19) * -1"),0.6470889015)</f>
        <v>0.6470889015</v>
      </c>
      <c r="L21" s="30">
        <f>IFERROR(__xludf.DUMMYFUNCTION("((K21-('HV (Max.) - A1'!L19*-1))*100)/K21"),56.76115502036624)</f>
        <v>56.76115502</v>
      </c>
      <c r="M21" s="30">
        <f>IFERROR(__xludf.DUMMYFUNCTION("((K21-('HV (Max.) - A1'!M19*-1))*100)/K21"),51.92410098846364)</f>
        <v>51.92410099</v>
      </c>
      <c r="N21" s="30">
        <f>IFERROR(__xludf.DUMMYFUNCTION("((K21-('HV (Max.) - A1'!N19*-1))*100)/K21"),-28.786578562574842)</f>
        <v>-28.78657856</v>
      </c>
      <c r="O21" s="30">
        <f>IFERROR(__xludf.DUMMYFUNCTION("((K21-('HV (Max.) - A1'!O19*-1))*100)/K21"),-40.61790713621133)</f>
        <v>-40.61790714</v>
      </c>
      <c r="P21" s="30">
        <f>IFERROR(__xludf.DUMMYFUNCTION("((K21-('HV (Max.) - A1'!P19*-1))*100)/K21"),-47.00377297384385)</f>
        <v>-47.00377297</v>
      </c>
      <c r="Q21" s="30">
        <f>IFERROR(__xludf.DUMMYFUNCTION("((K21-('HV (Max.) - A1'!Q19*-1))*100)/K21"),-42.89473552344647)</f>
        <v>-42.89473552</v>
      </c>
      <c r="R21" s="30">
        <f>IFERROR(__xludf.DUMMYFUNCTION("((K21-('HV (Max.) - A1'!R19*-1))*100)/K21"),-27.962031829099452)</f>
        <v>-27.96203183</v>
      </c>
      <c r="S21" s="30">
        <f>IFERROR(__xludf.DUMMYFUNCTION("((K21-('HV (Max.) - A1'!S19*-1))*100)/K21"),-46.900518104466364)</f>
        <v>-46.9005181</v>
      </c>
    </row>
    <row r="22">
      <c r="A22" s="14" t="s">
        <v>33</v>
      </c>
      <c r="B22" s="27">
        <f>IFERROR(__xludf.DUMMYFUNCTION("('HV (Max.) - A1'!B20) * -1"),0.6227839827)</f>
        <v>0.6227839827</v>
      </c>
      <c r="C22" s="28">
        <f>IFERROR(__xludf.DUMMYFUNCTION("((B22-('HV (Max.) - A1'!C20*-1))*100)/B22"),59.0102943570774)</f>
        <v>59.01029436</v>
      </c>
      <c r="D22" s="28">
        <f>IFERROR(__xludf.DUMMYFUNCTION("((B22-('HV (Max.) - A1'!D20*-1))*100)/B22"),58.78477418651826)</f>
        <v>58.78477419</v>
      </c>
      <c r="E22" s="28">
        <f>IFERROR(__xludf.DUMMYFUNCTION("((B22-('HV (Max.) - A1'!E20*-1))*100)/B22"),-19.369884141370036)</f>
        <v>-19.36988414</v>
      </c>
      <c r="F22" s="28">
        <f>IFERROR(__xludf.DUMMYFUNCTION("((B22-('HV (Max.) - A1'!F20*-1))*100)/B22"),-38.277516317376545)</f>
        <v>-38.27751632</v>
      </c>
      <c r="G22" s="28">
        <f>IFERROR(__xludf.DUMMYFUNCTION("((B22-('HV (Max.) - A1'!G20*-1))*100)/B22"),-46.04781371491107)</f>
        <v>-46.04781371</v>
      </c>
      <c r="H22" s="28">
        <f>IFERROR(__xludf.DUMMYFUNCTION("((B22-('HV (Max.) - A1'!H20*-1))*100)/B22"),-45.5207393534657)</f>
        <v>-45.52073935</v>
      </c>
      <c r="I22" s="28">
        <f>IFERROR(__xludf.DUMMYFUNCTION("((B22-('HV (Max.) - A1'!I20*-1))*100)/B22"),-37.938248712766715)</f>
        <v>-37.93824871</v>
      </c>
      <c r="J22" s="28">
        <f>IFERROR(__xludf.DUMMYFUNCTION("((B22-('HV (Max.) - A1'!J20*-1))*100)/B22"),-43.422897700031044)</f>
        <v>-43.4228977</v>
      </c>
      <c r="K22" s="29">
        <f>IFERROR(__xludf.DUMMYFUNCTION("('HV (Max.) - A1'!K20) * -1"),0.538917786)</f>
        <v>0.538917786</v>
      </c>
      <c r="L22" s="30">
        <f>IFERROR(__xludf.DUMMYFUNCTION("((K22-('HV (Max.) - A1'!L20*-1))*100)/K22"),63.90654922641577)</f>
        <v>63.90654923</v>
      </c>
      <c r="M22" s="30">
        <f>IFERROR(__xludf.DUMMYFUNCTION("((K22-('HV (Max.) - A1'!M20*-1))*100)/K22"),58.742887305634405)</f>
        <v>58.74288731</v>
      </c>
      <c r="N22" s="30">
        <f>IFERROR(__xludf.DUMMYFUNCTION("((K22-('HV (Max.) - A1'!N20*-1))*100)/K22"),-33.69250561346292)</f>
        <v>-33.69250561</v>
      </c>
      <c r="O22" s="30">
        <f>IFERROR(__xludf.DUMMYFUNCTION("((K22-('HV (Max.) - A1'!O20*-1))*100)/K22"),-51.7451623873479)</f>
        <v>-51.74516239</v>
      </c>
      <c r="P22" s="30">
        <f>IFERROR(__xludf.DUMMYFUNCTION("((K22-('HV (Max.) - A1'!P20*-1))*100)/K22"),-64.92985278834351)</f>
        <v>-64.92985279</v>
      </c>
      <c r="Q22" s="30">
        <f>IFERROR(__xludf.DUMMYFUNCTION("((K22-('HV (Max.) - A1'!Q20*-1))*100)/K22"),-62.78994733345098)</f>
        <v>-62.78994733</v>
      </c>
      <c r="R22" s="30">
        <f>IFERROR(__xludf.DUMMYFUNCTION("((K22-('HV (Max.) - A1'!R20*-1))*100)/K22"),-25.75992416772826)</f>
        <v>-25.75992417</v>
      </c>
      <c r="S22" s="30">
        <f>IFERROR(__xludf.DUMMYFUNCTION("((K22-('HV (Max.) - A1'!S20*-1))*100)/K22"),-61.14105219010161)</f>
        <v>-61.14105219</v>
      </c>
    </row>
    <row r="23">
      <c r="A23" s="18"/>
    </row>
    <row r="24">
      <c r="A24" s="18"/>
    </row>
    <row r="25">
      <c r="A25" s="1"/>
      <c r="B25" s="19" t="s">
        <v>67</v>
      </c>
      <c r="K25" s="20" t="s">
        <v>67</v>
      </c>
    </row>
    <row r="26">
      <c r="A26" s="1" t="s">
        <v>0</v>
      </c>
      <c r="B26" s="19" t="s">
        <v>1</v>
      </c>
      <c r="K26" s="20" t="s">
        <v>2</v>
      </c>
    </row>
    <row r="27">
      <c r="B27" s="23" t="s">
        <v>64</v>
      </c>
      <c r="C27" s="19" t="s">
        <v>65</v>
      </c>
      <c r="K27" s="24" t="s">
        <v>64</v>
      </c>
      <c r="L27" s="20" t="s">
        <v>65</v>
      </c>
    </row>
    <row r="28">
      <c r="B28" s="25" t="s">
        <v>66</v>
      </c>
      <c r="C28" s="10" t="s">
        <v>8</v>
      </c>
      <c r="D28" s="10" t="s">
        <v>9</v>
      </c>
      <c r="E28" s="10" t="s">
        <v>10</v>
      </c>
      <c r="F28" s="10" t="s">
        <v>61</v>
      </c>
      <c r="G28" s="10" t="s">
        <v>13</v>
      </c>
      <c r="H28" s="10" t="s">
        <v>11</v>
      </c>
      <c r="I28" s="10" t="s">
        <v>15</v>
      </c>
      <c r="J28" s="10" t="s">
        <v>14</v>
      </c>
      <c r="K28" s="26" t="s">
        <v>66</v>
      </c>
      <c r="L28" s="11" t="s">
        <v>8</v>
      </c>
      <c r="M28" s="11" t="s">
        <v>9</v>
      </c>
      <c r="N28" s="11" t="s">
        <v>10</v>
      </c>
      <c r="O28" s="11" t="s">
        <v>61</v>
      </c>
      <c r="P28" s="11" t="s">
        <v>13</v>
      </c>
      <c r="Q28" s="11" t="s">
        <v>11</v>
      </c>
      <c r="R28" s="11" t="s">
        <v>15</v>
      </c>
      <c r="S28" s="11" t="s">
        <v>14</v>
      </c>
    </row>
    <row r="29">
      <c r="A29" s="14" t="s">
        <v>16</v>
      </c>
      <c r="B29" s="27">
        <f>IFERROR(__xludf.DUMMYFUNCTION("('HV (Max.) - A2'!B3) * -1"),0.8269841605)</f>
        <v>0.8269841605</v>
      </c>
      <c r="C29" s="28">
        <f>IFERROR(__xludf.DUMMYFUNCTION("((B29-('HV (Max.) - A2'!C3*-1))*100)/B29"),72.39976698441252)</f>
        <v>72.39976698</v>
      </c>
      <c r="D29" s="28">
        <f>IFERROR(__xludf.DUMMYFUNCTION("((B29-('HV (Max.) - A2'!D3*-1))*100)/B29"),72.39976698441252)</f>
        <v>72.39976698</v>
      </c>
      <c r="E29" s="28">
        <f>IFERROR(__xludf.DUMMYFUNCTION("((B29-('HV (Max.) - A2'!E3*-1))*100)/B29"),3.0195722231127284)</f>
        <v>3.019572223</v>
      </c>
      <c r="F29" s="28">
        <f>IFERROR(__xludf.DUMMYFUNCTION("((B29-('HV (Max.) - A2'!F3*-1))*100)/B29"),4.523930117038804)</f>
        <v>4.523930117</v>
      </c>
      <c r="G29" s="28">
        <f>IFERROR(__xludf.DUMMYFUNCTION("((B29-('HV (Max.) - A2'!G3*-1))*100)/B29"),0.0)</f>
        <v>0</v>
      </c>
      <c r="H29" s="28">
        <f>IFERROR(__xludf.DUMMYFUNCTION("((B29-('HV (Max.) - A2'!H3*-1))*100)/B29"),0.0)</f>
        <v>0</v>
      </c>
      <c r="I29" s="28">
        <f>IFERROR(__xludf.DUMMYFUNCTION("((B29-('HV (Max.) - A2'!I3*-1))*100)/B29"),0.23637543418221138)</f>
        <v>0.2363754342</v>
      </c>
      <c r="J29" s="28">
        <f>IFERROR(__xludf.DUMMYFUNCTION("((B29-('HV (Max.) - A2'!J3*-1))*100)/B29"),0.0)</f>
        <v>0</v>
      </c>
      <c r="K29" s="29">
        <f>IFERROR(__xludf.DUMMYFUNCTION("('HV (Max.) - A2'!K3) * -1"),0.6914952736)</f>
        <v>0.6914952736</v>
      </c>
      <c r="L29" s="30">
        <f>IFERROR(__xludf.DUMMYFUNCTION("((K29-('HV (Max.) - A2'!L3*-1))*100)/K29"),84.4494474213569)</f>
        <v>84.44944742</v>
      </c>
      <c r="M29" s="30">
        <f>IFERROR(__xludf.DUMMYFUNCTION("((K29-('HV (Max.) - A2'!M3*-1))*100)/K29"),85.8279373133231)</f>
        <v>85.82793731</v>
      </c>
      <c r="N29" s="30">
        <f>IFERROR(__xludf.DUMMYFUNCTION("((K29-('HV (Max.) - A2'!N3*-1))*100)/K29"),2.33073646564401)</f>
        <v>2.330736466</v>
      </c>
      <c r="O29" s="30">
        <f>IFERROR(__xludf.DUMMYFUNCTION("((K29-('HV (Max.) - A2'!O3*-1))*100)/K29"),1.9641748567983148)</f>
        <v>1.964174857</v>
      </c>
      <c r="P29" s="30">
        <f>IFERROR(__xludf.DUMMYFUNCTION("((K29-('HV (Max.) - A2'!P3*-1))*100)/K29"),0.26472484626970977)</f>
        <v>0.2647248463</v>
      </c>
      <c r="Q29" s="30">
        <f>IFERROR(__xludf.DUMMYFUNCTION("((K29-('HV (Max.) - A2'!Q3*-1))*100)/K29"),0.26472484626970977)</f>
        <v>0.2647248463</v>
      </c>
      <c r="R29" s="30">
        <f>IFERROR(__xludf.DUMMYFUNCTION("((K29-('HV (Max.) - A2'!R3*-1))*100)/K29"),0.26472484626970977)</f>
        <v>0.2647248463</v>
      </c>
      <c r="S29" s="30">
        <f>IFERROR(__xludf.DUMMYFUNCTION("((K29-('HV (Max.) - A2'!S3*-1))*100)/K29"),0.26472484626970977)</f>
        <v>0.2647248463</v>
      </c>
    </row>
    <row r="30">
      <c r="A30" s="14" t="s">
        <v>17</v>
      </c>
      <c r="B30" s="27">
        <f>IFERROR(__xludf.DUMMYFUNCTION("('HV (Max.) - A2'!B4) * -1"),0.7517424405)</f>
        <v>0.7517424405</v>
      </c>
      <c r="C30" s="28">
        <f>IFERROR(__xludf.DUMMYFUNCTION("((B30-('HV (Max.) - A2'!C4*-1))*100)/B30"),83.94171600585587)</f>
        <v>83.94171601</v>
      </c>
      <c r="D30" s="28">
        <f>IFERROR(__xludf.DUMMYFUNCTION("((B30-('HV (Max.) - A2'!D4*-1))*100)/B30"),89.40614156531714)</f>
        <v>89.40614157</v>
      </c>
      <c r="E30" s="28">
        <f>IFERROR(__xludf.DUMMYFUNCTION("((B30-('HV (Max.) - A2'!E4*-1))*100)/B30"),3.1747998934483554)</f>
        <v>3.174799893</v>
      </c>
      <c r="F30" s="28">
        <f>IFERROR(__xludf.DUMMYFUNCTION("((B30-('HV (Max.) - A2'!F4*-1))*100)/B30"),4.55013007876067)</f>
        <v>4.550130079</v>
      </c>
      <c r="G30" s="28">
        <f>IFERROR(__xludf.DUMMYFUNCTION("((B30-('HV (Max.) - A2'!G4*-1))*100)/B30"),1.6137745119101203)</f>
        <v>1.613774512</v>
      </c>
      <c r="H30" s="28">
        <f>IFERROR(__xludf.DUMMYFUNCTION("((B30-('HV (Max.) - A2'!H4*-1))*100)/B30"),1.6137745119101203)</f>
        <v>1.613774512</v>
      </c>
      <c r="I30" s="28">
        <f>IFERROR(__xludf.DUMMYFUNCTION("((B30-('HV (Max.) - A2'!I4*-1))*100)/B30"),1.7204956782003138)</f>
        <v>1.720495678</v>
      </c>
      <c r="J30" s="28">
        <f>IFERROR(__xludf.DUMMYFUNCTION("((B30-('HV (Max.) - A2'!J4*-1))*100)/B30"),1.6137745119101203)</f>
        <v>1.613774512</v>
      </c>
      <c r="K30" s="29">
        <f>IFERROR(__xludf.DUMMYFUNCTION("('HV (Max.) - A2'!K4) * -1"),0.80370399)</f>
        <v>0.80370399</v>
      </c>
      <c r="L30" s="30">
        <f>IFERROR(__xludf.DUMMYFUNCTION("((K30-('HV (Max.) - A2'!L4*-1))*100)/K30"),80.77942533295125)</f>
        <v>80.77942533</v>
      </c>
      <c r="M30" s="30">
        <f>IFERROR(__xludf.DUMMYFUNCTION("((K30-('HV (Max.) - A2'!M4*-1))*100)/K30"),80.77942533295125)</f>
        <v>80.77942533</v>
      </c>
      <c r="N30" s="30">
        <f>IFERROR(__xludf.DUMMYFUNCTION("((K30-('HV (Max.) - A2'!N4*-1))*100)/K30"),4.308435024691125)</f>
        <v>4.308435025</v>
      </c>
      <c r="O30" s="30">
        <f>IFERROR(__xludf.DUMMYFUNCTION("((K30-('HV (Max.) - A2'!O4*-1))*100)/K30"),1.3431150192498154)</f>
        <v>1.343115019</v>
      </c>
      <c r="P30" s="30">
        <f>IFERROR(__xludf.DUMMYFUNCTION("((K30-('HV (Max.) - A2'!P4*-1))*100)/K30"),0.06692818583618321)</f>
        <v>0.06692818584</v>
      </c>
      <c r="Q30" s="30">
        <f>IFERROR(__xludf.DUMMYFUNCTION("((K30-('HV (Max.) - A2'!Q4*-1))*100)/K30"),0.0)</f>
        <v>0</v>
      </c>
      <c r="R30" s="30">
        <f>IFERROR(__xludf.DUMMYFUNCTION("((K30-('HV (Max.) - A2'!R4*-1))*100)/K30"),0.0)</f>
        <v>0</v>
      </c>
      <c r="S30" s="30">
        <f>IFERROR(__xludf.DUMMYFUNCTION("((K30-('HV (Max.) - A2'!S4*-1))*100)/K30"),0.0)</f>
        <v>0</v>
      </c>
    </row>
    <row r="31">
      <c r="A31" s="14" t="s">
        <v>18</v>
      </c>
      <c r="B31" s="27">
        <f>IFERROR(__xludf.DUMMYFUNCTION("('HV (Max.) - A2'!B5) * -1"),0.896729871)</f>
        <v>0.896729871</v>
      </c>
      <c r="C31" s="28">
        <f>IFERROR(__xludf.DUMMYFUNCTION("((B31-('HV (Max.) - A2'!C5*-1))*100)/B31"),66.70101644244212)</f>
        <v>66.70101644</v>
      </c>
      <c r="D31" s="28">
        <f>IFERROR(__xludf.DUMMYFUNCTION("((B31-('HV (Max.) - A2'!D5*-1))*100)/B31"),83.34011989213639)</f>
        <v>83.34011989</v>
      </c>
      <c r="E31" s="28">
        <f>IFERROR(__xludf.DUMMYFUNCTION("((B31-('HV (Max.) - A2'!E5*-1))*100)/B31"),1.4960235890257303)</f>
        <v>1.496023589</v>
      </c>
      <c r="F31" s="28">
        <f>IFERROR(__xludf.DUMMYFUNCTION("((B31-('HV (Max.) - A2'!F5*-1))*100)/B31"),2.558121251656179)</f>
        <v>2.558121252</v>
      </c>
      <c r="G31" s="28">
        <f>IFERROR(__xludf.DUMMYFUNCTION("((B31-('HV (Max.) - A2'!G5*-1))*100)/B31"),0.689082476209825)</f>
        <v>0.6890824762</v>
      </c>
      <c r="H31" s="28">
        <f>IFERROR(__xludf.DUMMYFUNCTION("((B31-('HV (Max.) - A2'!H5*-1))*100)/B31"),0.689082476209825)</f>
        <v>0.6890824762</v>
      </c>
      <c r="I31" s="28">
        <f>IFERROR(__xludf.DUMMYFUNCTION("((B31-('HV (Max.) - A2'!I5*-1))*100)/B31"),0.7020858681755663)</f>
        <v>0.7020858682</v>
      </c>
      <c r="J31" s="28">
        <f>IFERROR(__xludf.DUMMYFUNCTION("((B31-('HV (Max.) - A2'!J5*-1))*100)/B31"),0.689082476209825)</f>
        <v>0.6890824762</v>
      </c>
      <c r="K31" s="29">
        <f>IFERROR(__xludf.DUMMYFUNCTION("('HV (Max.) - A2'!K5) * -1"),0.7901391529)</f>
        <v>0.7901391529</v>
      </c>
      <c r="L31" s="30">
        <f>IFERROR(__xludf.DUMMYFUNCTION("((K31-('HV (Max.) - A2'!L5*-1))*100)/K31"),84.68545118212683)</f>
        <v>84.68545118</v>
      </c>
      <c r="M31" s="30">
        <f>IFERROR(__xludf.DUMMYFUNCTION("((K31-('HV (Max.) - A2'!M5*-1))*100)/K31"),95.62693608420983)</f>
        <v>95.62693608</v>
      </c>
      <c r="N31" s="30">
        <f>IFERROR(__xludf.DUMMYFUNCTION("((K31-('HV (Max.) - A2'!N5*-1))*100)/K31"),8.24524779728835)</f>
        <v>8.245247797</v>
      </c>
      <c r="O31" s="30">
        <f>IFERROR(__xludf.DUMMYFUNCTION("((K31-('HV (Max.) - A2'!O5*-1))*100)/K31"),2.124976902913329)</f>
        <v>2.124976903</v>
      </c>
      <c r="P31" s="30">
        <f>IFERROR(__xludf.DUMMYFUNCTION("((K31-('HV (Max.) - A2'!P5*-1))*100)/K31"),0.0)</f>
        <v>0</v>
      </c>
      <c r="Q31" s="30">
        <f>IFERROR(__xludf.DUMMYFUNCTION("((K31-('HV (Max.) - A2'!Q5*-1))*100)/K31"),0.0)</f>
        <v>0</v>
      </c>
      <c r="R31" s="30">
        <f>IFERROR(__xludf.DUMMYFUNCTION("((K31-('HV (Max.) - A2'!R5*-1))*100)/K31"),0.0)</f>
        <v>0</v>
      </c>
      <c r="S31" s="30">
        <f>IFERROR(__xludf.DUMMYFUNCTION("((K31-('HV (Max.) - A2'!S5*-1))*100)/K31"),0.0)</f>
        <v>0</v>
      </c>
    </row>
    <row r="32">
      <c r="A32" s="14" t="s">
        <v>19</v>
      </c>
      <c r="B32" s="27">
        <f>IFERROR(__xludf.DUMMYFUNCTION("('HV (Max.) - A2'!B6) * -1"),0.8121231941)</f>
        <v>0.8121231941</v>
      </c>
      <c r="C32" s="28">
        <f>IFERROR(__xludf.DUMMYFUNCTION("((B32-('HV (Max.) - A2'!C6*-1))*100)/B32"),86.3362522575194)</f>
        <v>86.33625226</v>
      </c>
      <c r="D32" s="28">
        <f>IFERROR(__xludf.DUMMYFUNCTION("((B32-('HV (Max.) - A2'!D6*-1))*100)/B32"),86.3362522575194)</f>
        <v>86.33625226</v>
      </c>
      <c r="E32" s="28">
        <f>IFERROR(__xludf.DUMMYFUNCTION("((B32-('HV (Max.) - A2'!E6*-1))*100)/B32"),0.6747069951711401)</f>
        <v>0.6747069952</v>
      </c>
      <c r="F32" s="28">
        <f>IFERROR(__xludf.DUMMYFUNCTION("((B32-('HV (Max.) - A2'!F6*-1))*100)/B32"),0.7289543437508349)</f>
        <v>0.7289543438</v>
      </c>
      <c r="G32" s="28">
        <f>IFERROR(__xludf.DUMMYFUNCTION("((B32-('HV (Max.) - A2'!G6*-1))*100)/B32"),0.0)</f>
        <v>0</v>
      </c>
      <c r="H32" s="28">
        <f>IFERROR(__xludf.DUMMYFUNCTION("((B32-('HV (Max.) - A2'!H6*-1))*100)/B32"),0.0)</f>
        <v>0</v>
      </c>
      <c r="I32" s="28">
        <f>IFERROR(__xludf.DUMMYFUNCTION("((B32-('HV (Max.) - A2'!I6*-1))*100)/B32"),0.0)</f>
        <v>0</v>
      </c>
      <c r="J32" s="28">
        <f>IFERROR(__xludf.DUMMYFUNCTION("((B32-('HV (Max.) - A2'!J6*-1))*100)/B32"),0.0)</f>
        <v>0</v>
      </c>
      <c r="K32" s="29">
        <f>IFERROR(__xludf.DUMMYFUNCTION("('HV (Max.) - A2'!K6) * -1"),0.7702902218)</f>
        <v>0.7702902218</v>
      </c>
      <c r="L32" s="30">
        <f>IFERROR(__xludf.DUMMYFUNCTION("((K32-('HV (Max.) - A2'!L6*-1))*100)/K32"),82.95103239229513)</f>
        <v>82.95103239</v>
      </c>
      <c r="M32" s="30">
        <f>IFERROR(__xludf.DUMMYFUNCTION("((K32-('HV (Max.) - A2'!M6*-1))*100)/K32"),82.95103239229513)</f>
        <v>82.95103239</v>
      </c>
      <c r="N32" s="30">
        <f>IFERROR(__xludf.DUMMYFUNCTION("((K32-('HV (Max.) - A2'!N6*-1))*100)/K32"),1.4566198274957658)</f>
        <v>1.456619827</v>
      </c>
      <c r="O32" s="30">
        <f>IFERROR(__xludf.DUMMYFUNCTION("((K32-('HV (Max.) - A2'!O6*-1))*100)/K32"),0.0)</f>
        <v>0</v>
      </c>
      <c r="P32" s="30">
        <f>IFERROR(__xludf.DUMMYFUNCTION("((K32-('HV (Max.) - A2'!P6*-1))*100)/K32"),0.5385574271351807)</f>
        <v>0.5385574271</v>
      </c>
      <c r="Q32" s="30">
        <f>IFERROR(__xludf.DUMMYFUNCTION("((K32-('HV (Max.) - A2'!Q6*-1))*100)/K32"),0.5385574271351807)</f>
        <v>0.5385574271</v>
      </c>
      <c r="R32" s="30">
        <f>IFERROR(__xludf.DUMMYFUNCTION("((K32-('HV (Max.) - A2'!R6*-1))*100)/K32"),0.5594128132550462)</f>
        <v>0.5594128133</v>
      </c>
      <c r="S32" s="30">
        <f>IFERROR(__xludf.DUMMYFUNCTION("((K32-('HV (Max.) - A2'!S6*-1))*100)/K32"),0.0)</f>
        <v>0</v>
      </c>
    </row>
    <row r="33">
      <c r="A33" s="14" t="s">
        <v>20</v>
      </c>
      <c r="B33" s="27">
        <f>IFERROR(__xludf.DUMMYFUNCTION("('HV (Max.) - A2'!B7) * -1"),0.8040658599)</f>
        <v>0.8040658599</v>
      </c>
      <c r="C33" s="28">
        <f>IFERROR(__xludf.DUMMYFUNCTION("((B33-('HV (Max.) - A2'!C7*-1))*100)/B33"),74.4880400685695)</f>
        <v>74.48804007</v>
      </c>
      <c r="D33" s="28">
        <f>IFERROR(__xludf.DUMMYFUNCTION("((B33-('HV (Max.) - A2'!D7*-1))*100)/B33"),74.54783319298592)</f>
        <v>74.54783319</v>
      </c>
      <c r="E33" s="28">
        <f>IFERROR(__xludf.DUMMYFUNCTION("((B33-('HV (Max.) - A2'!E7*-1))*100)/B33"),8.58602986931767)</f>
        <v>8.586029869</v>
      </c>
      <c r="F33" s="28">
        <f>IFERROR(__xludf.DUMMYFUNCTION("((B33-('HV (Max.) - A2'!F7*-1))*100)/B33"),3.9528479425743654)</f>
        <v>3.952847943</v>
      </c>
      <c r="G33" s="28">
        <f>IFERROR(__xludf.DUMMYFUNCTION("((B33-('HV (Max.) - A2'!G7*-1))*100)/B33"),0.15715355706771683)</f>
        <v>0.1571535571</v>
      </c>
      <c r="H33" s="28">
        <f>IFERROR(__xludf.DUMMYFUNCTION("((B33-('HV (Max.) - A2'!H7*-1))*100)/B33"),0.15715355706771683)</f>
        <v>0.1571535571</v>
      </c>
      <c r="I33" s="28">
        <f>IFERROR(__xludf.DUMMYFUNCTION("((B33-('HV (Max.) - A2'!I7*-1))*100)/B33"),1.3177212127023723)</f>
        <v>1.317721213</v>
      </c>
      <c r="J33" s="28">
        <f>IFERROR(__xludf.DUMMYFUNCTION("((B33-('HV (Max.) - A2'!J7*-1))*100)/B33"),0.15715355706771683)</f>
        <v>0.1571535571</v>
      </c>
      <c r="K33" s="29">
        <f>IFERROR(__xludf.DUMMYFUNCTION("('HV (Max.) - A2'!K7) * -1"),0.7376965672)</f>
        <v>0.7376965672</v>
      </c>
      <c r="L33" s="30">
        <f>IFERROR(__xludf.DUMMYFUNCTION("((K33-('HV (Max.) - A2'!L7*-1))*100)/K33"),92.57939967542796)</f>
        <v>92.57939968</v>
      </c>
      <c r="M33" s="30">
        <f>IFERROR(__xludf.DUMMYFUNCTION("((K33-('HV (Max.) - A2'!M7*-1))*100)/K33"),92.57939967542796)</f>
        <v>92.57939968</v>
      </c>
      <c r="N33" s="30">
        <f>IFERROR(__xludf.DUMMYFUNCTION("((K33-('HV (Max.) - A2'!N7*-1))*100)/K33"),4.0531515028581815)</f>
        <v>4.053151503</v>
      </c>
      <c r="O33" s="30">
        <f>IFERROR(__xludf.DUMMYFUNCTION("((K33-('HV (Max.) - A2'!O7*-1))*100)/K33"),2.339626787950158)</f>
        <v>2.339626788</v>
      </c>
      <c r="P33" s="30">
        <f>IFERROR(__xludf.DUMMYFUNCTION("((K33-('HV (Max.) - A2'!P7*-1))*100)/K33"),0.6659277429805609)</f>
        <v>0.665927743</v>
      </c>
      <c r="Q33" s="30">
        <f>IFERROR(__xludf.DUMMYFUNCTION("((K33-('HV (Max.) - A2'!Q7*-1))*100)/K33"),0.6659277429805609)</f>
        <v>0.665927743</v>
      </c>
      <c r="R33" s="30">
        <f>IFERROR(__xludf.DUMMYFUNCTION("((K33-('HV (Max.) - A2'!R7*-1))*100)/K33"),0.6659277429805609)</f>
        <v>0.665927743</v>
      </c>
      <c r="S33" s="30">
        <f>IFERROR(__xludf.DUMMYFUNCTION("((K33-('HV (Max.) - A2'!S7*-1))*100)/K33"),0.6659277429805609)</f>
        <v>0.665927743</v>
      </c>
    </row>
    <row r="34">
      <c r="A34" s="14" t="s">
        <v>21</v>
      </c>
      <c r="B34" s="27">
        <f>IFERROR(__xludf.DUMMYFUNCTION("('HV (Max.) - A2'!B8) * -1"),0.8256190571)</f>
        <v>0.8256190571</v>
      </c>
      <c r="C34" s="28">
        <f>IFERROR(__xludf.DUMMYFUNCTION("((B34-('HV (Max.) - A2'!C8*-1))*100)/B34"),73.39086956499469)</f>
        <v>73.39086956</v>
      </c>
      <c r="D34" s="28">
        <f>IFERROR(__xludf.DUMMYFUNCTION("((B34-('HV (Max.) - A2'!D8*-1))*100)/B34"),73.39086956499469)</f>
        <v>73.39086956</v>
      </c>
      <c r="E34" s="28">
        <f>IFERROR(__xludf.DUMMYFUNCTION("((B34-('HV (Max.) - A2'!E8*-1))*100)/B34"),7.032276544576873)</f>
        <v>7.032276545</v>
      </c>
      <c r="F34" s="28">
        <f>IFERROR(__xludf.DUMMYFUNCTION("((B34-('HV (Max.) - A2'!F8*-1))*100)/B34"),0.40665055767884895)</f>
        <v>0.4066505577</v>
      </c>
      <c r="G34" s="28">
        <f>IFERROR(__xludf.DUMMYFUNCTION("((B34-('HV (Max.) - A2'!G8*-1))*100)/B34"),0.40665055767884895)</f>
        <v>0.4066505577</v>
      </c>
      <c r="H34" s="28">
        <f>IFERROR(__xludf.DUMMYFUNCTION("((B34-('HV (Max.) - A2'!H8*-1))*100)/B34"),0.138108003951023)</f>
        <v>0.138108004</v>
      </c>
      <c r="I34" s="28">
        <f>IFERROR(__xludf.DUMMYFUNCTION("((B34-('HV (Max.) - A2'!I8*-1))*100)/B34"),1.589546605924644)</f>
        <v>1.589546606</v>
      </c>
      <c r="J34" s="28">
        <f>IFERROR(__xludf.DUMMYFUNCTION("((B34-('HV (Max.) - A2'!J8*-1))*100)/B34"),0.138108003951023)</f>
        <v>0.138108004</v>
      </c>
      <c r="K34" s="29">
        <f>IFERROR(__xludf.DUMMYFUNCTION("('HV (Max.) - A2'!K8) * -1"),0.8014035424)</f>
        <v>0.8014035424</v>
      </c>
      <c r="L34" s="30">
        <f>IFERROR(__xludf.DUMMYFUNCTION("((K34-('HV (Max.) - A2'!L8*-1))*100)/K34"),80.1649855672013)</f>
        <v>80.16498557</v>
      </c>
      <c r="M34" s="30">
        <f>IFERROR(__xludf.DUMMYFUNCTION("((K34-('HV (Max.) - A2'!M8*-1))*100)/K34"),83.63498180863544)</f>
        <v>83.63498181</v>
      </c>
      <c r="N34" s="30">
        <f>IFERROR(__xludf.DUMMYFUNCTION("((K34-('HV (Max.) - A2'!N8*-1))*100)/K34"),3.543439216023117)</f>
        <v>3.543439216</v>
      </c>
      <c r="O34" s="30">
        <f>IFERROR(__xludf.DUMMYFUNCTION("((K34-('HV (Max.) - A2'!O8*-1))*100)/K34"),4.0199456073679585)</f>
        <v>4.019945607</v>
      </c>
      <c r="P34" s="30">
        <f>IFERROR(__xludf.DUMMYFUNCTION("((K34-('HV (Max.) - A2'!P8*-1))*100)/K34"),0.47005327537219904)</f>
        <v>0.4700532754</v>
      </c>
      <c r="Q34" s="30">
        <f>IFERROR(__xludf.DUMMYFUNCTION("((K34-('HV (Max.) - A2'!Q8*-1))*100)/K34"),0.47005327537219904)</f>
        <v>0.4700532754</v>
      </c>
      <c r="R34" s="30">
        <f>IFERROR(__xludf.DUMMYFUNCTION("((K34-('HV (Max.) - A2'!R8*-1))*100)/K34"),0.47005327537219904)</f>
        <v>0.4700532754</v>
      </c>
      <c r="S34" s="30">
        <f>IFERROR(__xludf.DUMMYFUNCTION("((K34-('HV (Max.) - A2'!S8*-1))*100)/K34"),0.47005327537219904)</f>
        <v>0.4700532754</v>
      </c>
    </row>
    <row r="35">
      <c r="A35" s="14" t="s">
        <v>22</v>
      </c>
      <c r="B35" s="27">
        <f>IFERROR(__xludf.DUMMYFUNCTION("('HV (Max.) - A2'!B9) * -1"),0.808372529)</f>
        <v>0.808372529</v>
      </c>
      <c r="C35" s="28">
        <f>IFERROR(__xludf.DUMMYFUNCTION("((B35-('HV (Max.) - A2'!C9*-1))*100)/B35"),83.88101841347951)</f>
        <v>83.88101841</v>
      </c>
      <c r="D35" s="28">
        <f>IFERROR(__xludf.DUMMYFUNCTION("((B35-('HV (Max.) - A2'!D9*-1))*100)/B35"),84.88557267635699)</f>
        <v>84.88557268</v>
      </c>
      <c r="E35" s="28">
        <f>IFERROR(__xludf.DUMMYFUNCTION("((B35-('HV (Max.) - A2'!E9*-1))*100)/B35"),9.745008603576633)</f>
        <v>9.745008604</v>
      </c>
      <c r="F35" s="28">
        <f>IFERROR(__xludf.DUMMYFUNCTION("((B35-('HV (Max.) - A2'!F9*-1))*100)/B35"),6.492158221274743)</f>
        <v>6.492158221</v>
      </c>
      <c r="G35" s="28">
        <f>IFERROR(__xludf.DUMMYFUNCTION("((B35-('HV (Max.) - A2'!G9*-1))*100)/B35"),5.129028772327323)</f>
        <v>5.129028772</v>
      </c>
      <c r="H35" s="28">
        <f>IFERROR(__xludf.DUMMYFUNCTION("((B35-('HV (Max.) - A2'!H9*-1))*100)/B35"),8.26832101564402)</f>
        <v>8.268321016</v>
      </c>
      <c r="I35" s="28">
        <f>IFERROR(__xludf.DUMMYFUNCTION("((B35-('HV (Max.) - A2'!I9*-1))*100)/B35"),15.035964711759764)</f>
        <v>15.03596471</v>
      </c>
      <c r="J35" s="28">
        <f>IFERROR(__xludf.DUMMYFUNCTION("((B35-('HV (Max.) - A2'!J9*-1))*100)/B35"),3.2717459526633714)</f>
        <v>3.271745953</v>
      </c>
      <c r="K35" s="29">
        <f>IFERROR(__xludf.DUMMYFUNCTION("('HV (Max.) - A2'!K9) * -1"),0.8268202019)</f>
        <v>0.8268202019</v>
      </c>
      <c r="L35" s="30">
        <f>IFERROR(__xludf.DUMMYFUNCTION("((K35-('HV (Max.) - A2'!L9*-1))*100)/K35"),81.14973183506584)</f>
        <v>81.14973184</v>
      </c>
      <c r="M35" s="30">
        <f>IFERROR(__xludf.DUMMYFUNCTION("((K35-('HV (Max.) - A2'!M9*-1))*100)/K35"),81.14973183506584)</f>
        <v>81.14973184</v>
      </c>
      <c r="N35" s="30">
        <f>IFERROR(__xludf.DUMMYFUNCTION("((K35-('HV (Max.) - A2'!N9*-1))*100)/K35"),8.220391161683347)</f>
        <v>8.220391162</v>
      </c>
      <c r="O35" s="30">
        <f>IFERROR(__xludf.DUMMYFUNCTION("((K35-('HV (Max.) - A2'!O9*-1))*100)/K35"),3.9490091709139223)</f>
        <v>3.949009171</v>
      </c>
      <c r="P35" s="30">
        <f>IFERROR(__xludf.DUMMYFUNCTION("((K35-('HV (Max.) - A2'!P9*-1))*100)/K35"),1.4810304552139015)</f>
        <v>1.481030455</v>
      </c>
      <c r="Q35" s="30">
        <f>IFERROR(__xludf.DUMMYFUNCTION("((K35-('HV (Max.) - A2'!Q9*-1))*100)/K35"),4.433726040529637)</f>
        <v>4.433726041</v>
      </c>
      <c r="R35" s="30">
        <f>IFERROR(__xludf.DUMMYFUNCTION("((K35-('HV (Max.) - A2'!R9*-1))*100)/K35"),4.9156924935556585)</f>
        <v>4.915692494</v>
      </c>
      <c r="S35" s="30">
        <f>IFERROR(__xludf.DUMMYFUNCTION("((K35-('HV (Max.) - A2'!S9*-1))*100)/K35"),2.149373389663434)</f>
        <v>2.14937339</v>
      </c>
    </row>
    <row r="36">
      <c r="A36" s="14" t="s">
        <v>23</v>
      </c>
      <c r="B36" s="27">
        <f>IFERROR(__xludf.DUMMYFUNCTION("('HV (Max.) - A2'!B10) * -1"),0.9047825085)</f>
        <v>0.9047825085</v>
      </c>
      <c r="C36" s="28">
        <f>IFERROR(__xludf.DUMMYFUNCTION("((B36-('HV (Max.) - A2'!C10*-1))*100)/B36"),76.80463385085433)</f>
        <v>76.80463385</v>
      </c>
      <c r="D36" s="28">
        <f>IFERROR(__xludf.DUMMYFUNCTION("((B36-('HV (Max.) - A2'!D10*-1))*100)/B36"),75.25091489984302)</f>
        <v>75.2509149</v>
      </c>
      <c r="E36" s="28">
        <f>IFERROR(__xludf.DUMMYFUNCTION("((B36-('HV (Max.) - A2'!E10*-1))*100)/B36"),14.21256505203537)</f>
        <v>14.21256505</v>
      </c>
      <c r="F36" s="28">
        <f>IFERROR(__xludf.DUMMYFUNCTION("((B36-('HV (Max.) - A2'!F10*-1))*100)/B36"),8.145613648321321)</f>
        <v>8.145613648</v>
      </c>
      <c r="G36" s="28">
        <f>IFERROR(__xludf.DUMMYFUNCTION("((B36-('HV (Max.) - A2'!G10*-1))*100)/B36"),4.418531826646154)</f>
        <v>4.418531827</v>
      </c>
      <c r="H36" s="28">
        <f>IFERROR(__xludf.DUMMYFUNCTION("((B36-('HV (Max.) - A2'!H10*-1))*100)/B36"),10.286661393830423)</f>
        <v>10.28666139</v>
      </c>
      <c r="I36" s="28">
        <f>IFERROR(__xludf.DUMMYFUNCTION("((B36-('HV (Max.) - A2'!I10*-1))*100)/B36"),10.342659680185445)</f>
        <v>10.34265968</v>
      </c>
      <c r="J36" s="28">
        <f>IFERROR(__xludf.DUMMYFUNCTION("((B36-('HV (Max.) - A2'!J10*-1))*100)/B36"),3.4778743404498433)</f>
        <v>3.47787434</v>
      </c>
      <c r="K36" s="29">
        <f>IFERROR(__xludf.DUMMYFUNCTION("('HV (Max.) - A2'!K10) * -1"),0.7887262751)</f>
        <v>0.7887262751</v>
      </c>
      <c r="L36" s="30">
        <f>IFERROR(__xludf.DUMMYFUNCTION("((K36-('HV (Max.) - A2'!L10*-1))*100)/K36"),83.75490438888258)</f>
        <v>83.75490439</v>
      </c>
      <c r="M36" s="30">
        <f>IFERROR(__xludf.DUMMYFUNCTION("((K36-('HV (Max.) - A2'!M10*-1))*100)/K36"),83.75490438888258)</f>
        <v>83.75490439</v>
      </c>
      <c r="N36" s="30">
        <f>IFERROR(__xludf.DUMMYFUNCTION("((K36-('HV (Max.) - A2'!N10*-1))*100)/K36"),14.330400161408296)</f>
        <v>14.33040016</v>
      </c>
      <c r="O36" s="30">
        <f>IFERROR(__xludf.DUMMYFUNCTION("((K36-('HV (Max.) - A2'!O10*-1))*100)/K36"),6.456794607678462)</f>
        <v>6.456794608</v>
      </c>
      <c r="P36" s="30">
        <f>IFERROR(__xludf.DUMMYFUNCTION("((K36-('HV (Max.) - A2'!P10*-1))*100)/K36"),4.161735628223908)</f>
        <v>4.161735628</v>
      </c>
      <c r="Q36" s="30">
        <f>IFERROR(__xludf.DUMMYFUNCTION("((K36-('HV (Max.) - A2'!Q10*-1))*100)/K36"),11.602055020722872)</f>
        <v>11.60205502</v>
      </c>
      <c r="R36" s="30">
        <f>IFERROR(__xludf.DUMMYFUNCTION("((K36-('HV (Max.) - A2'!R10*-1))*100)/K36"),13.86460466099414)</f>
        <v>13.86460466</v>
      </c>
      <c r="S36" s="30">
        <f>IFERROR(__xludf.DUMMYFUNCTION("((K36-('HV (Max.) - A2'!S10*-1))*100)/K36"),3.4828846923499674)</f>
        <v>3.482884692</v>
      </c>
    </row>
    <row r="37">
      <c r="A37" s="14" t="s">
        <v>24</v>
      </c>
      <c r="B37" s="27">
        <f>IFERROR(__xludf.DUMMYFUNCTION("('HV (Max.) - A2'!B11) * -1"),0.8402894297)</f>
        <v>0.8402894297</v>
      </c>
      <c r="C37" s="28">
        <f>IFERROR(__xludf.DUMMYFUNCTION("((B37-('HV (Max.) - A2'!C11*-1))*100)/B37"),78.35665372288094)</f>
        <v>78.35665372</v>
      </c>
      <c r="D37" s="28">
        <f>IFERROR(__xludf.DUMMYFUNCTION("((B37-('HV (Max.) - A2'!D11*-1))*100)/B37"),78.35665372288094)</f>
        <v>78.35665372</v>
      </c>
      <c r="E37" s="28">
        <f>IFERROR(__xludf.DUMMYFUNCTION("((B37-('HV (Max.) - A2'!E11*-1))*100)/B37"),14.572047900652054)</f>
        <v>14.5720479</v>
      </c>
      <c r="F37" s="28">
        <f>IFERROR(__xludf.DUMMYFUNCTION("((B37-('HV (Max.) - A2'!F11*-1))*100)/B37"),7.944140630667264)</f>
        <v>7.944140631</v>
      </c>
      <c r="G37" s="28">
        <f>IFERROR(__xludf.DUMMYFUNCTION("((B37-('HV (Max.) - A2'!G11*-1))*100)/B37"),4.808470447429687)</f>
        <v>4.808470447</v>
      </c>
      <c r="H37" s="28">
        <f>IFERROR(__xludf.DUMMYFUNCTION("((B37-('HV (Max.) - A2'!H11*-1))*100)/B37"),9.360403608561546)</f>
        <v>9.360403609</v>
      </c>
      <c r="I37" s="28">
        <f>IFERROR(__xludf.DUMMYFUNCTION("((B37-('HV (Max.) - A2'!I11*-1))*100)/B37"),10.58437372367674)</f>
        <v>10.58437372</v>
      </c>
      <c r="J37" s="28">
        <f>IFERROR(__xludf.DUMMYFUNCTION("((B37-('HV (Max.) - A2'!J11*-1))*100)/B37"),4.086498066774376)</f>
        <v>4.086498067</v>
      </c>
      <c r="K37" s="29">
        <f>IFERROR(__xludf.DUMMYFUNCTION("('HV (Max.) - A2'!K11) * -1"),0.8474714893)</f>
        <v>0.8474714893</v>
      </c>
      <c r="L37" s="30">
        <f>IFERROR(__xludf.DUMMYFUNCTION("((K37-('HV (Max.) - A2'!L11*-1))*100)/K37"),90.20758473791881)</f>
        <v>90.20758474</v>
      </c>
      <c r="M37" s="30">
        <f>IFERROR(__xludf.DUMMYFUNCTION("((K37-('HV (Max.) - A2'!M11*-1))*100)/K37"),90.20758473791881)</f>
        <v>90.20758474</v>
      </c>
      <c r="N37" s="30">
        <f>IFERROR(__xludf.DUMMYFUNCTION("((K37-('HV (Max.) - A2'!N11*-1))*100)/K37"),14.928245303508415)</f>
        <v>14.9282453</v>
      </c>
      <c r="O37" s="30">
        <f>IFERROR(__xludf.DUMMYFUNCTION("((K37-('HV (Max.) - A2'!O11*-1))*100)/K37"),5.393278154732148)</f>
        <v>5.393278155</v>
      </c>
      <c r="P37" s="30">
        <f>IFERROR(__xludf.DUMMYFUNCTION("((K37-('HV (Max.) - A2'!P11*-1))*100)/K37"),3.5172958000771355)</f>
        <v>3.5172958</v>
      </c>
      <c r="Q37" s="30">
        <f>IFERROR(__xludf.DUMMYFUNCTION("((K37-('HV (Max.) - A2'!Q11*-1))*100)/K37"),9.088018354884849)</f>
        <v>9.088018355</v>
      </c>
      <c r="R37" s="30">
        <f>IFERROR(__xludf.DUMMYFUNCTION("((K37-('HV (Max.) - A2'!R11*-1))*100)/K37"),17.4090581291252)</f>
        <v>17.40905813</v>
      </c>
      <c r="S37" s="30">
        <f>IFERROR(__xludf.DUMMYFUNCTION("((K37-('HV (Max.) - A2'!S11*-1))*100)/K37"),3.521409071194819)</f>
        <v>3.521409071</v>
      </c>
    </row>
    <row r="38">
      <c r="A38" s="14" t="s">
        <v>25</v>
      </c>
      <c r="B38" s="27">
        <f>IFERROR(__xludf.DUMMYFUNCTION("('HV (Max.) - A2'!B12) * -1"),0.889369982)</f>
        <v>0.889369982</v>
      </c>
      <c r="C38" s="28">
        <f>IFERROR(__xludf.DUMMYFUNCTION("((B38-('HV (Max.) - A2'!C12*-1))*100)/B38"),79.87243036947923)</f>
        <v>79.87243037</v>
      </c>
      <c r="D38" s="28">
        <f>IFERROR(__xludf.DUMMYFUNCTION("((B38-('HV (Max.) - A2'!D12*-1))*100)/B38"),80.59639158138351)</f>
        <v>80.59639158</v>
      </c>
      <c r="E38" s="28">
        <f>IFERROR(__xludf.DUMMYFUNCTION("((B38-('HV (Max.) - A2'!E12*-1))*100)/B38"),3.611060644050384)</f>
        <v>3.611060644</v>
      </c>
      <c r="F38" s="28">
        <f>IFERROR(__xludf.DUMMYFUNCTION("((B38-('HV (Max.) - A2'!F12*-1))*100)/B38"),4.44658775317199)</f>
        <v>4.446587753</v>
      </c>
      <c r="G38" s="28">
        <f>IFERROR(__xludf.DUMMYFUNCTION("((B38-('HV (Max.) - A2'!G12*-1))*100)/B38"),1.8334977152399474)</f>
        <v>1.833497715</v>
      </c>
      <c r="H38" s="28">
        <f>IFERROR(__xludf.DUMMYFUNCTION("((B38-('HV (Max.) - A2'!H12*-1))*100)/B38"),0.9771599869445534)</f>
        <v>0.9771599869</v>
      </c>
      <c r="I38" s="28">
        <f>IFERROR(__xludf.DUMMYFUNCTION("((B38-('HV (Max.) - A2'!I12*-1))*100)/B38"),18.637352244254185)</f>
        <v>18.63735224</v>
      </c>
      <c r="J38" s="28">
        <f>IFERROR(__xludf.DUMMYFUNCTION("((B38-('HV (Max.) - A2'!J12*-1))*100)/B38"),2.5937612879765477)</f>
        <v>2.593761288</v>
      </c>
      <c r="K38" s="29">
        <f>IFERROR(__xludf.DUMMYFUNCTION("('HV (Max.) - A2'!K12) * -1"),0.7779595343)</f>
        <v>0.7779595343</v>
      </c>
      <c r="L38" s="30">
        <f>IFERROR(__xludf.DUMMYFUNCTION("((K38-('HV (Max.) - A2'!L12*-1))*100)/K38"),86.62624279119912)</f>
        <v>86.62624279</v>
      </c>
      <c r="M38" s="30">
        <f>IFERROR(__xludf.DUMMYFUNCTION("((K38-('HV (Max.) - A2'!M12*-1))*100)/K38"),86.82658057630029)</f>
        <v>86.82658058</v>
      </c>
      <c r="N38" s="30">
        <f>IFERROR(__xludf.DUMMYFUNCTION("((K38-('HV (Max.) - A2'!N12*-1))*100)/K38"),10.982422019787561)</f>
        <v>10.98242202</v>
      </c>
      <c r="O38" s="30">
        <f>IFERROR(__xludf.DUMMYFUNCTION("((K38-('HV (Max.) - A2'!O12*-1))*100)/K38"),5.10114768831878)</f>
        <v>5.101147688</v>
      </c>
      <c r="P38" s="30">
        <f>IFERROR(__xludf.DUMMYFUNCTION("((K38-('HV (Max.) - A2'!P12*-1))*100)/K38"),2.164208979731763)</f>
        <v>2.16420898</v>
      </c>
      <c r="Q38" s="30">
        <f>IFERROR(__xludf.DUMMYFUNCTION("((K38-('HV (Max.) - A2'!Q12*-1))*100)/K38"),0.936819985959513)</f>
        <v>0.936819986</v>
      </c>
      <c r="R38" s="30">
        <f>IFERROR(__xludf.DUMMYFUNCTION("((K38-('HV (Max.) - A2'!R12*-1))*100)/K38"),15.975711668837631)</f>
        <v>15.97571167</v>
      </c>
      <c r="S38" s="30">
        <f>IFERROR(__xludf.DUMMYFUNCTION("((K38-('HV (Max.) - A2'!S12*-1))*100)/K38"),2.9402964410715797)</f>
        <v>2.940296441</v>
      </c>
    </row>
    <row r="39">
      <c r="A39" s="14" t="s">
        <v>26</v>
      </c>
      <c r="B39" s="27">
        <f>IFERROR(__xludf.DUMMYFUNCTION("('HV (Max.) - A2'!B13) * -1"),0.8961688635)</f>
        <v>0.8961688635</v>
      </c>
      <c r="C39" s="28">
        <f>IFERROR(__xludf.DUMMYFUNCTION("((B39-('HV (Max.) - A2'!C13*-1))*100)/B39"),72.8353927797448)</f>
        <v>72.83539278</v>
      </c>
      <c r="D39" s="28">
        <f>IFERROR(__xludf.DUMMYFUNCTION("((B39-('HV (Max.) - A2'!D13*-1))*100)/B39"),74.87516689425797)</f>
        <v>74.87516689</v>
      </c>
      <c r="E39" s="28">
        <f>IFERROR(__xludf.DUMMYFUNCTION("((B39-('HV (Max.) - A2'!E13*-1))*100)/B39"),2.7567636531706032)</f>
        <v>2.756763653</v>
      </c>
      <c r="F39" s="28">
        <f>IFERROR(__xludf.DUMMYFUNCTION("((B39-('HV (Max.) - A2'!F13*-1))*100)/B39"),1.8011725532349934)</f>
        <v>1.801172553</v>
      </c>
      <c r="G39" s="28">
        <f>IFERROR(__xludf.DUMMYFUNCTION("((B39-('HV (Max.) - A2'!G13*-1))*100)/B39"),-0.8507048069294979)</f>
        <v>-0.8507048069</v>
      </c>
      <c r="H39" s="28">
        <f>IFERROR(__xludf.DUMMYFUNCTION("((B39-('HV (Max.) - A2'!H13*-1))*100)/B39"),0.533936626777257)</f>
        <v>0.5339366268</v>
      </c>
      <c r="I39" s="28">
        <f>IFERROR(__xludf.DUMMYFUNCTION("((B39-('HV (Max.) - A2'!I13*-1))*100)/B39"),6.741900880603405)</f>
        <v>6.741900881</v>
      </c>
      <c r="J39" s="28">
        <f>IFERROR(__xludf.DUMMYFUNCTION("((B39-('HV (Max.) - A2'!J13*-1))*100)/B39"),-1.9521063621510129)</f>
        <v>-1.952106362</v>
      </c>
      <c r="K39" s="29">
        <f>IFERROR(__xludf.DUMMYFUNCTION("('HV (Max.) - A2'!K13) * -1"),0.7196732524)</f>
        <v>0.7196732524</v>
      </c>
      <c r="L39" s="30">
        <f>IFERROR(__xludf.DUMMYFUNCTION("((K39-('HV (Max.) - A2'!L13*-1))*100)/K39"),80.85895267878654)</f>
        <v>80.85895268</v>
      </c>
      <c r="M39" s="30">
        <f>IFERROR(__xludf.DUMMYFUNCTION("((K39-('HV (Max.) - A2'!M13*-1))*100)/K39"),78.68849733006972)</f>
        <v>78.68849733</v>
      </c>
      <c r="N39" s="30">
        <f>IFERROR(__xludf.DUMMYFUNCTION("((K39-('HV (Max.) - A2'!N13*-1))*100)/K39"),-4.304396988035119)</f>
        <v>-4.304396988</v>
      </c>
      <c r="O39" s="30">
        <f>IFERROR(__xludf.DUMMYFUNCTION("((K39-('HV (Max.) - A2'!O13*-1))*100)/K39"),-12.667927881989465)</f>
        <v>-12.66792788</v>
      </c>
      <c r="P39" s="30">
        <f>IFERROR(__xludf.DUMMYFUNCTION("((K39-('HV (Max.) - A2'!P13*-1))*100)/K39"),-17.31926349691859)</f>
        <v>-17.3192635</v>
      </c>
      <c r="Q39" s="30">
        <f>IFERROR(__xludf.DUMMYFUNCTION("((K39-('HV (Max.) - A2'!Q13*-1))*100)/K39"),-7.028014203852595)</f>
        <v>-7.028014204</v>
      </c>
      <c r="R39" s="30">
        <f>IFERROR(__xludf.DUMMYFUNCTION("((K39-('HV (Max.) - A2'!R13*-1))*100)/K39"),-9.931613612377737)</f>
        <v>-9.931613612</v>
      </c>
      <c r="S39" s="30">
        <f>IFERROR(__xludf.DUMMYFUNCTION("((K39-('HV (Max.) - A2'!S13*-1))*100)/K39"),-15.180716559308376)</f>
        <v>-15.18071656</v>
      </c>
    </row>
    <row r="40">
      <c r="A40" s="14" t="s">
        <v>27</v>
      </c>
      <c r="B40" s="27">
        <f>IFERROR(__xludf.DUMMYFUNCTION("('HV (Max.) - A2'!B14) * -1"),0.5943646861)</f>
        <v>0.5943646861</v>
      </c>
      <c r="C40" s="28">
        <f>IFERROR(__xludf.DUMMYFUNCTION("((B40-('HV (Max.) - A2'!C14*-1))*100)/B40"),56.92289907396636)</f>
        <v>56.92289907</v>
      </c>
      <c r="D40" s="28">
        <f>IFERROR(__xludf.DUMMYFUNCTION("((B40-('HV (Max.) - A2'!D14*-1))*100)/B40"),64.05479161255977)</f>
        <v>64.05479161</v>
      </c>
      <c r="E40" s="28">
        <f>IFERROR(__xludf.DUMMYFUNCTION("((B40-('HV (Max.) - A2'!E14*-1))*100)/B40"),-45.36220778342771)</f>
        <v>-45.36220778</v>
      </c>
      <c r="F40" s="28">
        <f>IFERROR(__xludf.DUMMYFUNCTION("((B40-('HV (Max.) - A2'!F14*-1))*100)/B40"),-52.2512361455722)</f>
        <v>-52.25123615</v>
      </c>
      <c r="G40" s="28">
        <f>IFERROR(__xludf.DUMMYFUNCTION("((B40-('HV (Max.) - A2'!G14*-1))*100)/B40"),-58.941308542186604)</f>
        <v>-58.94130854</v>
      </c>
      <c r="H40" s="28">
        <f>IFERROR(__xludf.DUMMYFUNCTION("((B40-('HV (Max.) - A2'!H14*-1))*100)/B40"),-45.80115140861494)</f>
        <v>-45.80115141</v>
      </c>
      <c r="I40" s="28">
        <f>IFERROR(__xludf.DUMMYFUNCTION("((B40-('HV (Max.) - A2'!I14*-1))*100)/B40"),-46.274909316150904)</f>
        <v>-46.27490932</v>
      </c>
      <c r="J40" s="28">
        <f>IFERROR(__xludf.DUMMYFUNCTION("((B40-('HV (Max.) - A2'!J14*-1))*100)/B40"),-56.52183481901517)</f>
        <v>-56.52183482</v>
      </c>
      <c r="K40" s="29">
        <f>IFERROR(__xludf.DUMMYFUNCTION("('HV (Max.) - A2'!K14) * -1"),0.2099051475)</f>
        <v>0.2099051475</v>
      </c>
      <c r="L40" s="30">
        <f>IFERROR(__xludf.DUMMYFUNCTION("((K40-('HV (Max.) - A2'!L14*-1))*100)/K40"),70.34385411153389)</f>
        <v>70.34385411</v>
      </c>
      <c r="M40" s="30">
        <f>IFERROR(__xludf.DUMMYFUNCTION("((K40-('HV (Max.) - A2'!M14*-1))*100)/K40"),70.34385411153389)</f>
        <v>70.34385411</v>
      </c>
      <c r="N40" s="30">
        <f>IFERROR(__xludf.DUMMYFUNCTION("((K40-('HV (Max.) - A2'!N14*-1))*100)/K40"),-228.9178386156538)</f>
        <v>-228.9178386</v>
      </c>
      <c r="O40" s="30">
        <f>IFERROR(__xludf.DUMMYFUNCTION("((K40-('HV (Max.) - A2'!O14*-1))*100)/K40"),-300.2644286272208)</f>
        <v>-300.2644286</v>
      </c>
      <c r="P40" s="30">
        <f>IFERROR(__xludf.DUMMYFUNCTION("((K40-('HV (Max.) - A2'!P14*-1))*100)/K40"),-318.5325112620214)</f>
        <v>-318.5325113</v>
      </c>
      <c r="Q40" s="30">
        <f>IFERROR(__xludf.DUMMYFUNCTION("((K40-('HV (Max.) - A2'!Q14*-1))*100)/K40"),-266.0701354644006)</f>
        <v>-266.0701355</v>
      </c>
      <c r="R40" s="30">
        <f>IFERROR(__xludf.DUMMYFUNCTION("((K40-('HV (Max.) - A2'!R14*-1))*100)/K40"),-282.30815344821406)</f>
        <v>-282.3081534</v>
      </c>
      <c r="S40" s="30">
        <f>IFERROR(__xludf.DUMMYFUNCTION("((K40-('HV (Max.) - A2'!S14*-1))*100)/K40"),-314.1389115767158)</f>
        <v>-314.1389116</v>
      </c>
    </row>
    <row r="41">
      <c r="A41" s="14" t="s">
        <v>28</v>
      </c>
      <c r="B41" s="27">
        <f>IFERROR(__xludf.DUMMYFUNCTION("('HV (Max.) - A2'!B15) * -1"),0.6046017442)</f>
        <v>0.6046017442</v>
      </c>
      <c r="C41" s="28">
        <f>IFERROR(__xludf.DUMMYFUNCTION("((B41-('HV (Max.) - A2'!C15*-1))*100)/B41"),70.78340944356144)</f>
        <v>70.78340944</v>
      </c>
      <c r="D41" s="28">
        <f>IFERROR(__xludf.DUMMYFUNCTION("((B41-('HV (Max.) - A2'!D15*-1))*100)/B41"),70.78340944356144)</f>
        <v>70.78340944</v>
      </c>
      <c r="E41" s="28">
        <f>IFERROR(__xludf.DUMMYFUNCTION("((B41-('HV (Max.) - A2'!E15*-1))*100)/B41"),-30.617243710558252)</f>
        <v>-30.61724371</v>
      </c>
      <c r="F41" s="28">
        <f>IFERROR(__xludf.DUMMYFUNCTION("((B41-('HV (Max.) - A2'!F15*-1))*100)/B41"),-28.455825582780385)</f>
        <v>-28.45582558</v>
      </c>
      <c r="G41" s="28">
        <f>IFERROR(__xludf.DUMMYFUNCTION("((B41-('HV (Max.) - A2'!G15*-1))*100)/B41"),-32.01361930506982)</f>
        <v>-32.01361931</v>
      </c>
      <c r="H41" s="28">
        <f>IFERROR(__xludf.DUMMYFUNCTION("((B41-('HV (Max.) - A2'!H15*-1))*100)/B41"),-41.117328288382396)</f>
        <v>-41.11732829</v>
      </c>
      <c r="I41" s="28">
        <f>IFERROR(__xludf.DUMMYFUNCTION("((B41-('HV (Max.) - A2'!I15*-1))*100)/B41"),-6.901957197496283)</f>
        <v>-6.901957197</v>
      </c>
      <c r="J41" s="28">
        <f>IFERROR(__xludf.DUMMYFUNCTION("((B41-('HV (Max.) - A2'!J15*-1))*100)/B41"),-35.00725894862545)</f>
        <v>-35.00725895</v>
      </c>
      <c r="K41" s="29">
        <f>IFERROR(__xludf.DUMMYFUNCTION("('HV (Max.) - A2'!K15) * -1"),0.6750123648)</f>
        <v>0.6750123648</v>
      </c>
      <c r="L41" s="30">
        <f>IFERROR(__xludf.DUMMYFUNCTION("((K41-('HV (Max.) - A2'!L15*-1))*100)/K41"),74.10087030749456)</f>
        <v>74.10087031</v>
      </c>
      <c r="M41" s="30">
        <f>IFERROR(__xludf.DUMMYFUNCTION("((K41-('HV (Max.) - A2'!M15*-1))*100)/K41"),66.0520470513313)</f>
        <v>66.05204705</v>
      </c>
      <c r="N41" s="30">
        <f>IFERROR(__xludf.DUMMYFUNCTION("((K41-('HV (Max.) - A2'!N15*-1))*100)/K41"),-22.733837852802537)</f>
        <v>-22.73383785</v>
      </c>
      <c r="O41" s="30">
        <f>IFERROR(__xludf.DUMMYFUNCTION("((K41-('HV (Max.) - A2'!O15*-1))*100)/K41"),-21.635719168384618)</f>
        <v>-21.63571917</v>
      </c>
      <c r="P41" s="30">
        <f>IFERROR(__xludf.DUMMYFUNCTION("((K41-('HV (Max.) - A2'!P15*-1))*100)/K41"),-28.454800758636413)</f>
        <v>-28.45480076</v>
      </c>
      <c r="Q41" s="30">
        <f>IFERROR(__xludf.DUMMYFUNCTION("((K41-('HV (Max.) - A2'!Q15*-1))*100)/K41"),-28.145992711747127)</f>
        <v>-28.14599271</v>
      </c>
      <c r="R41" s="30">
        <f>IFERROR(__xludf.DUMMYFUNCTION("((K41-('HV (Max.) - A2'!R15*-1))*100)/K41"),-17.168995390823383)</f>
        <v>-17.16899539</v>
      </c>
      <c r="S41" s="30">
        <f>IFERROR(__xludf.DUMMYFUNCTION("((K41-('HV (Max.) - A2'!S15*-1))*100)/K41"),-28.690224831271106)</f>
        <v>-28.69022483</v>
      </c>
    </row>
    <row r="42">
      <c r="A42" s="14" t="s">
        <v>29</v>
      </c>
      <c r="B42" s="27">
        <f>IFERROR(__xludf.DUMMYFUNCTION("('HV (Max.) - A2'!B16) * -1"),0.7474015059)</f>
        <v>0.7474015059</v>
      </c>
      <c r="C42" s="28">
        <f>IFERROR(__xludf.DUMMYFUNCTION("((B42-('HV (Max.) - A2'!C16*-1))*100)/B42"),72.92634704336899)</f>
        <v>72.92634704</v>
      </c>
      <c r="D42" s="28">
        <f>IFERROR(__xludf.DUMMYFUNCTION("((B42-('HV (Max.) - A2'!D16*-1))*100)/B42"),68.03971751269654)</f>
        <v>68.03971751</v>
      </c>
      <c r="E42" s="28">
        <f>IFERROR(__xludf.DUMMYFUNCTION("((B42-('HV (Max.) - A2'!E16*-1))*100)/B42"),-14.02466150690693)</f>
        <v>-14.02466151</v>
      </c>
      <c r="F42" s="28">
        <f>IFERROR(__xludf.DUMMYFUNCTION("((B42-('HV (Max.) - A2'!F16*-1))*100)/B42"),-11.029910275699917)</f>
        <v>-11.02991028</v>
      </c>
      <c r="G42" s="28">
        <f>IFERROR(__xludf.DUMMYFUNCTION("((B42-('HV (Max.) - A2'!G16*-1))*100)/B42"),-16.58010287934584)</f>
        <v>-16.58010288</v>
      </c>
      <c r="H42" s="28">
        <f>IFERROR(__xludf.DUMMYFUNCTION("((B42-('HV (Max.) - A2'!H16*-1))*100)/B42"),-18.140103308560917)</f>
        <v>-18.14010331</v>
      </c>
      <c r="I42" s="28">
        <f>IFERROR(__xludf.DUMMYFUNCTION("((B42-('HV (Max.) - A2'!I16*-1))*100)/B42"),-14.933481337530708)</f>
        <v>-14.93348134</v>
      </c>
      <c r="J42" s="28">
        <f>IFERROR(__xludf.DUMMYFUNCTION("((B42-('HV (Max.) - A2'!J16*-1))*100)/B42"),-14.287090908576134)</f>
        <v>-14.28709091</v>
      </c>
      <c r="K42" s="29">
        <f>IFERROR(__xludf.DUMMYFUNCTION("('HV (Max.) - A2'!K16) * -1"),0.7945894828)</f>
        <v>0.7945894828</v>
      </c>
      <c r="L42" s="30">
        <f>IFERROR(__xludf.DUMMYFUNCTION("((K42-('HV (Max.) - A2'!L16*-1))*100)/K42"),81.23689898655175)</f>
        <v>81.23689899</v>
      </c>
      <c r="M42" s="30">
        <f>IFERROR(__xludf.DUMMYFUNCTION("((K42-('HV (Max.) - A2'!M16*-1))*100)/K42"),84.04125081631396)</f>
        <v>84.04125082</v>
      </c>
      <c r="N42" s="30">
        <f>IFERROR(__xludf.DUMMYFUNCTION("((K42-('HV (Max.) - A2'!N16*-1))*100)/K42"),-0.9711011619244152)</f>
        <v>-0.9711011619</v>
      </c>
      <c r="O42" s="30">
        <f>IFERROR(__xludf.DUMMYFUNCTION("((K42-('HV (Max.) - A2'!O16*-1))*100)/K42"),-1.4345757333499967)</f>
        <v>-1.434575733</v>
      </c>
      <c r="P42" s="30">
        <f>IFERROR(__xludf.DUMMYFUNCTION("((K42-('HV (Max.) - A2'!P16*-1))*100)/K42"),-3.054079159780195)</f>
        <v>-3.05407916</v>
      </c>
      <c r="Q42" s="30">
        <f>IFERROR(__xludf.DUMMYFUNCTION("((K42-('HV (Max.) - A2'!Q16*-1))*100)/K42"),-1.4130101949544804)</f>
        <v>-1.413010195</v>
      </c>
      <c r="R42" s="30">
        <f>IFERROR(__xludf.DUMMYFUNCTION("((K42-('HV (Max.) - A2'!R16*-1))*100)/K42"),-0.6349802897240208)</f>
        <v>-0.6349802897</v>
      </c>
      <c r="S42" s="30">
        <f>IFERROR(__xludf.DUMMYFUNCTION("((K42-('HV (Max.) - A2'!S16*-1))*100)/K42"),-4.419647938989809)</f>
        <v>-4.419647939</v>
      </c>
    </row>
    <row r="43">
      <c r="A43" s="14" t="s">
        <v>30</v>
      </c>
      <c r="B43" s="27">
        <f>IFERROR(__xludf.DUMMYFUNCTION("('HV (Max.) - A2'!B17) * -1"),0.8290887999)</f>
        <v>0.8290887999</v>
      </c>
      <c r="C43" s="28">
        <f>IFERROR(__xludf.DUMMYFUNCTION("((B43-('HV (Max.) - A2'!C17*-1))*100)/B43"),69.15545721630244)</f>
        <v>69.15545722</v>
      </c>
      <c r="D43" s="28">
        <f>IFERROR(__xludf.DUMMYFUNCTION("((B43-('HV (Max.) - A2'!D17*-1))*100)/B43"),69.15545721630244)</f>
        <v>69.15545722</v>
      </c>
      <c r="E43" s="28">
        <f>IFERROR(__xludf.DUMMYFUNCTION("((B43-('HV (Max.) - A2'!E17*-1))*100)/B43"),-6.588768043494114)</f>
        <v>-6.588768043</v>
      </c>
      <c r="F43" s="28">
        <f>IFERROR(__xludf.DUMMYFUNCTION("((B43-('HV (Max.) - A2'!F17*-1))*100)/B43"),0.17967547024873667)</f>
        <v>0.1796754702</v>
      </c>
      <c r="G43" s="28">
        <f>IFERROR(__xludf.DUMMYFUNCTION("((B43-('HV (Max.) - A2'!G17*-1))*100)/B43"),-3.5098449651605295)</f>
        <v>-3.509844965</v>
      </c>
      <c r="H43" s="28">
        <f>IFERROR(__xludf.DUMMYFUNCTION("((B43-('HV (Max.) - A2'!H17*-1))*100)/B43"),-11.466627822190656)</f>
        <v>-11.46662782</v>
      </c>
      <c r="I43" s="28">
        <f>IFERROR(__xludf.DUMMYFUNCTION("((B43-('HV (Max.) - A2'!I17*-1))*100)/B43"),-2.314151825753072)</f>
        <v>-2.314151826</v>
      </c>
      <c r="J43" s="28">
        <f>IFERROR(__xludf.DUMMYFUNCTION("((B43-('HV (Max.) - A2'!J17*-1))*100)/B43"),-6.29999778145599)</f>
        <v>-6.299997781</v>
      </c>
      <c r="K43" s="29">
        <f>IFERROR(__xludf.DUMMYFUNCTION("('HV (Max.) - A2'!K17) * -1"),0.4978864033)</f>
        <v>0.4978864033</v>
      </c>
      <c r="L43" s="30">
        <f>IFERROR(__xludf.DUMMYFUNCTION("((K43-('HV (Max.) - A2'!L17*-1))*100)/K43"),49.20109663095111)</f>
        <v>49.20109663</v>
      </c>
      <c r="M43" s="30">
        <f>IFERROR(__xludf.DUMMYFUNCTION("((K43-('HV (Max.) - A2'!M17*-1))*100)/K43"),41.1883397780668)</f>
        <v>41.18833978</v>
      </c>
      <c r="N43" s="30">
        <f>IFERROR(__xludf.DUMMYFUNCTION("((K43-('HV (Max.) - A2'!N17*-1))*100)/K43"),-66.40668797311582)</f>
        <v>-66.40668797</v>
      </c>
      <c r="O43" s="30">
        <f>IFERROR(__xludf.DUMMYFUNCTION("((K43-('HV (Max.) - A2'!O17*-1))*100)/K43"),-56.52947034394341)</f>
        <v>-56.52947034</v>
      </c>
      <c r="P43" s="30">
        <f>IFERROR(__xludf.DUMMYFUNCTION("((K43-('HV (Max.) - A2'!P17*-1))*100)/K43"),-65.82011198296163)</f>
        <v>-65.82011198</v>
      </c>
      <c r="Q43" s="30">
        <f>IFERROR(__xludf.DUMMYFUNCTION("((K43-('HV (Max.) - A2'!Q17*-1))*100)/K43"),-72.14515910039111)</f>
        <v>-72.1451591</v>
      </c>
      <c r="R43" s="30">
        <f>IFERROR(__xludf.DUMMYFUNCTION("((K43-('HV (Max.) - A2'!R17*-1))*100)/K43"),-43.60728084980021)</f>
        <v>-43.60728085</v>
      </c>
      <c r="S43" s="30">
        <f>IFERROR(__xludf.DUMMYFUNCTION("((K43-('HV (Max.) - A2'!S17*-1))*100)/K43"),-62.15965381836729)</f>
        <v>-62.15965382</v>
      </c>
    </row>
    <row r="44">
      <c r="A44" s="14" t="s">
        <v>31</v>
      </c>
      <c r="B44" s="27">
        <f>IFERROR(__xludf.DUMMYFUNCTION("('HV (Max.) - A2'!B18) * -1"),0.5968365529)</f>
        <v>0.5968365529</v>
      </c>
      <c r="C44" s="28">
        <f>IFERROR(__xludf.DUMMYFUNCTION("((B44-('HV (Max.) - A2'!C18*-1))*100)/B44"),74.21898180459114)</f>
        <v>74.2189818</v>
      </c>
      <c r="D44" s="28">
        <f>IFERROR(__xludf.DUMMYFUNCTION("((B44-('HV (Max.) - A2'!D18*-1))*100)/B44"),69.79747106236596)</f>
        <v>69.79747106</v>
      </c>
      <c r="E44" s="28">
        <f>IFERROR(__xludf.DUMMYFUNCTION("((B44-('HV (Max.) - A2'!E18*-1))*100)/B44"),-29.468240633959315)</f>
        <v>-29.46824063</v>
      </c>
      <c r="F44" s="28">
        <f>IFERROR(__xludf.DUMMYFUNCTION("((B44-('HV (Max.) - A2'!F18*-1))*100)/B44"),-36.38713636836969)</f>
        <v>-36.38713637</v>
      </c>
      <c r="G44" s="28">
        <f>IFERROR(__xludf.DUMMYFUNCTION("((B44-('HV (Max.) - A2'!G18*-1))*100)/B44"),-42.325943136784694)</f>
        <v>-42.32594314</v>
      </c>
      <c r="H44" s="28">
        <f>IFERROR(__xludf.DUMMYFUNCTION("((B44-('HV (Max.) - A2'!H18*-1))*100)/B44"),-41.059471778207154)</f>
        <v>-41.05947178</v>
      </c>
      <c r="I44" s="28">
        <f>IFERROR(__xludf.DUMMYFUNCTION("((B44-('HV (Max.) - A2'!I18*-1))*100)/B44"),-30.764491720192016)</f>
        <v>-30.76449172</v>
      </c>
      <c r="J44" s="28">
        <f>IFERROR(__xludf.DUMMYFUNCTION("((B44-('HV (Max.) - A2'!J18*-1))*100)/B44"),-42.963381591503044)</f>
        <v>-42.96338159</v>
      </c>
      <c r="K44" s="29">
        <f>IFERROR(__xludf.DUMMYFUNCTION("('HV (Max.) - A2'!K18) * -1"),0.4975359738)</f>
        <v>0.4975359738</v>
      </c>
      <c r="L44" s="30">
        <f>IFERROR(__xludf.DUMMYFUNCTION("((K44-('HV (Max.) - A2'!L18*-1))*100)/K44"),69.08143583566539)</f>
        <v>69.08143584</v>
      </c>
      <c r="M44" s="30">
        <f>IFERROR(__xludf.DUMMYFUNCTION("((K44-('HV (Max.) - A2'!M18*-1))*100)/K44"),69.08143583566539)</f>
        <v>69.08143584</v>
      </c>
      <c r="N44" s="30">
        <f>IFERROR(__xludf.DUMMYFUNCTION("((K44-('HV (Max.) - A2'!N18*-1))*100)/K44"),-50.6725732361506)</f>
        <v>-50.67257324</v>
      </c>
      <c r="O44" s="30">
        <f>IFERROR(__xludf.DUMMYFUNCTION("((K44-('HV (Max.) - A2'!O18*-1))*100)/K44"),-63.382718397517415)</f>
        <v>-63.3827184</v>
      </c>
      <c r="P44" s="30">
        <f>IFERROR(__xludf.DUMMYFUNCTION("((K44-('HV (Max.) - A2'!P18*-1))*100)/K44"),-68.43863467787703)</f>
        <v>-68.43863468</v>
      </c>
      <c r="Q44" s="30">
        <f>IFERROR(__xludf.DUMMYFUNCTION("((K44-('HV (Max.) - A2'!Q18*-1))*100)/K44"),-67.1122220469277)</f>
        <v>-67.11222205</v>
      </c>
      <c r="R44" s="30">
        <f>IFERROR(__xludf.DUMMYFUNCTION("((K44-('HV (Max.) - A2'!R18*-1))*100)/K44"),-47.602553317120574)</f>
        <v>-47.60255332</v>
      </c>
      <c r="S44" s="30">
        <f>IFERROR(__xludf.DUMMYFUNCTION("((K44-('HV (Max.) - A2'!S18*-1))*100)/K44"),-70.96142293058048)</f>
        <v>-70.96142293</v>
      </c>
    </row>
    <row r="45">
      <c r="A45" s="14" t="s">
        <v>32</v>
      </c>
      <c r="B45" s="27">
        <f>IFERROR(__xludf.DUMMYFUNCTION("('HV (Max.) - A2'!B19) * -1"),0.4031113712)</f>
        <v>0.4031113712</v>
      </c>
      <c r="C45" s="28">
        <f>IFERROR(__xludf.DUMMYFUNCTION("((B45-('HV (Max.) - A2'!C19*-1))*100)/B45"),62.67437322542094)</f>
        <v>62.67437323</v>
      </c>
      <c r="D45" s="28">
        <f>IFERROR(__xludf.DUMMYFUNCTION("((B45-('HV (Max.) - A2'!D19*-1))*100)/B45"),61.65064559210827)</f>
        <v>61.65064559</v>
      </c>
      <c r="E45" s="28">
        <f>IFERROR(__xludf.DUMMYFUNCTION("((B45-('HV (Max.) - A2'!E19*-1))*100)/B45"),-91.1321619398664)</f>
        <v>-91.13216194</v>
      </c>
      <c r="F45" s="28">
        <f>IFERROR(__xludf.DUMMYFUNCTION("((B45-('HV (Max.) - A2'!F19*-1))*100)/B45"),-100.39690061216513)</f>
        <v>-100.3969006</v>
      </c>
      <c r="G45" s="28">
        <f>IFERROR(__xludf.DUMMYFUNCTION("((B45-('HV (Max.) - A2'!G19*-1))*100)/B45"),-106.67386517029117)</f>
        <v>-106.6738652</v>
      </c>
      <c r="H45" s="28">
        <f>IFERROR(__xludf.DUMMYFUNCTION("((B45-('HV (Max.) - A2'!H19*-1))*100)/B45"),-101.6849830308136)</f>
        <v>-101.684983</v>
      </c>
      <c r="I45" s="28">
        <f>IFERROR(__xludf.DUMMYFUNCTION("((B45-('HV (Max.) - A2'!I19*-1))*100)/B45"),-89.01323883070852)</f>
        <v>-89.01323883</v>
      </c>
      <c r="J45" s="28">
        <f>IFERROR(__xludf.DUMMYFUNCTION("((B45-('HV (Max.) - A2'!J19*-1))*100)/B45"),-105.33208759058691)</f>
        <v>-105.3320876</v>
      </c>
      <c r="K45" s="29">
        <f>IFERROR(__xludf.DUMMYFUNCTION("('HV (Max.) - A2'!K19) * -1"),0.6471811726)</f>
        <v>0.6471811726</v>
      </c>
      <c r="L45" s="30">
        <f>IFERROR(__xludf.DUMMYFUNCTION("((K45-('HV (Max.) - A2'!L19*-1))*100)/K45"),77.28310410987997)</f>
        <v>77.28310411</v>
      </c>
      <c r="M45" s="30">
        <f>IFERROR(__xludf.DUMMYFUNCTION("((K45-('HV (Max.) - A2'!M19*-1))*100)/K45"),77.28310410987997)</f>
        <v>77.28310411</v>
      </c>
      <c r="N45" s="30">
        <f>IFERROR(__xludf.DUMMYFUNCTION("((K45-('HV (Max.) - A2'!N19*-1))*100)/K45"),-27.478828360465197)</f>
        <v>-27.47882836</v>
      </c>
      <c r="O45" s="30">
        <f>IFERROR(__xludf.DUMMYFUNCTION("((K45-('HV (Max.) - A2'!O19*-1))*100)/K45"),-26.32255028612989)</f>
        <v>-26.32255029</v>
      </c>
      <c r="P45" s="30">
        <f>IFERROR(__xludf.DUMMYFUNCTION("((K45-('HV (Max.) - A2'!P19*-1))*100)/K45"),-33.23266185818584)</f>
        <v>-33.23266186</v>
      </c>
      <c r="Q45" s="30">
        <f>IFERROR(__xludf.DUMMYFUNCTION("((K45-('HV (Max.) - A2'!Q19*-1))*100)/K45"),-34.05153330012062)</f>
        <v>-34.0515333</v>
      </c>
      <c r="R45" s="30">
        <f>IFERROR(__xludf.DUMMYFUNCTION("((K45-('HV (Max.) - A2'!R19*-1))*100)/K45"),-15.577163685864615)</f>
        <v>-15.57716369</v>
      </c>
      <c r="S45" s="30">
        <f>IFERROR(__xludf.DUMMYFUNCTION("((K45-('HV (Max.) - A2'!S19*-1))*100)/K45"),-33.31298333878633)</f>
        <v>-33.31298334</v>
      </c>
    </row>
    <row r="46">
      <c r="A46" s="14" t="s">
        <v>33</v>
      </c>
      <c r="B46" s="27">
        <f>IFERROR(__xludf.DUMMYFUNCTION("('HV (Max.) - A2'!B20) * -1"),0.495329146)</f>
        <v>0.495329146</v>
      </c>
      <c r="C46" s="28">
        <f>IFERROR(__xludf.DUMMYFUNCTION("((B46-('HV (Max.) - A2'!C20*-1))*100)/B46"),66.81507919988218)</f>
        <v>66.8150792</v>
      </c>
      <c r="D46" s="28">
        <f>IFERROR(__xludf.DUMMYFUNCTION("((B46-('HV (Max.) - A2'!D20*-1))*100)/B46"),66.81507919988218)</f>
        <v>66.8150792</v>
      </c>
      <c r="E46" s="28">
        <f>IFERROR(__xludf.DUMMYFUNCTION("((B46-('HV (Max.) - A2'!E20*-1))*100)/B46"),-61.51772833492823)</f>
        <v>-61.51772833</v>
      </c>
      <c r="F46" s="28">
        <f>IFERROR(__xludf.DUMMYFUNCTION("((B46-('HV (Max.) - A2'!F20*-1))*100)/B46"),-69.89201683278296)</f>
        <v>-69.89201683</v>
      </c>
      <c r="G46" s="28">
        <f>IFERROR(__xludf.DUMMYFUNCTION("((B46-('HV (Max.) - A2'!G20*-1))*100)/B46"),-77.79490522853263)</f>
        <v>-77.79490523</v>
      </c>
      <c r="H46" s="28">
        <f>IFERROR(__xludf.DUMMYFUNCTION("((B46-('HV (Max.) - A2'!H20*-1))*100)/B46"),-76.50587080534929)</f>
        <v>-76.50587081</v>
      </c>
      <c r="I46" s="28">
        <f>IFERROR(__xludf.DUMMYFUNCTION("((B46-('HV (Max.) - A2'!I20*-1))*100)/B46"),-41.0592885644569)</f>
        <v>-41.05928856</v>
      </c>
      <c r="J46" s="28">
        <f>IFERROR(__xludf.DUMMYFUNCTION("((B46-('HV (Max.) - A2'!J20*-1))*100)/B46"),-75.42588679003354)</f>
        <v>-75.42588679</v>
      </c>
      <c r="K46" s="29">
        <f>IFERROR(__xludf.DUMMYFUNCTION("('HV (Max.) - A2'!K20) * -1"),0.7925482819)</f>
        <v>0.7925482819</v>
      </c>
      <c r="L46" s="30">
        <f>IFERROR(__xludf.DUMMYFUNCTION("((K46-('HV (Max.) - A2'!L20*-1))*100)/K46"),64.99352812488888)</f>
        <v>64.99352812</v>
      </c>
      <c r="M46" s="30">
        <f>IFERROR(__xludf.DUMMYFUNCTION("((K46-('HV (Max.) - A2'!M20*-1))*100)/K46"),62.65938776745205)</f>
        <v>62.65938777</v>
      </c>
      <c r="N46" s="30">
        <f>IFERROR(__xludf.DUMMYFUNCTION("((K46-('HV (Max.) - A2'!N20*-1))*100)/K46"),-6.499671752048493)</f>
        <v>-6.499671752</v>
      </c>
      <c r="O46" s="30">
        <f>IFERROR(__xludf.DUMMYFUNCTION("((K46-('HV (Max.) - A2'!O20*-1))*100)/K46"),-1.754153206498795)</f>
        <v>-1.754153206</v>
      </c>
      <c r="P46" s="30">
        <f>IFERROR(__xludf.DUMMYFUNCTION("((K46-('HV (Max.) - A2'!P20*-1))*100)/K46"),-11.699028768028922)</f>
        <v>-11.69902877</v>
      </c>
      <c r="Q46" s="30">
        <f>IFERROR(__xludf.DUMMYFUNCTION("((K46-('HV (Max.) - A2'!Q20*-1))*100)/K46"),-13.164377765084135)</f>
        <v>-13.16437777</v>
      </c>
      <c r="R46" s="30">
        <f>IFERROR(__xludf.DUMMYFUNCTION("((K46-('HV (Max.) - A2'!R20*-1))*100)/K46"),-3.948072340146462)</f>
        <v>-3.94807234</v>
      </c>
      <c r="S46" s="30">
        <f>IFERROR(__xludf.DUMMYFUNCTION("((K46-('HV (Max.) - A2'!S20*-1))*100)/K46"),-9.267748978511783)</f>
        <v>-9.267748979</v>
      </c>
    </row>
    <row r="47">
      <c r="A47" s="18"/>
    </row>
    <row r="48">
      <c r="A48" s="18"/>
    </row>
    <row r="49">
      <c r="A49" s="1"/>
      <c r="B49" s="19" t="s">
        <v>68</v>
      </c>
      <c r="K49" s="20" t="s">
        <v>68</v>
      </c>
    </row>
    <row r="50">
      <c r="A50" s="1" t="s">
        <v>0</v>
      </c>
      <c r="B50" s="19" t="s">
        <v>1</v>
      </c>
      <c r="K50" s="20" t="s">
        <v>2</v>
      </c>
    </row>
    <row r="51">
      <c r="B51" s="23" t="s">
        <v>64</v>
      </c>
      <c r="C51" s="19" t="s">
        <v>65</v>
      </c>
      <c r="K51" s="24" t="s">
        <v>64</v>
      </c>
      <c r="L51" s="20" t="s">
        <v>65</v>
      </c>
    </row>
    <row r="52">
      <c r="B52" s="25" t="s">
        <v>66</v>
      </c>
      <c r="C52" s="10" t="s">
        <v>8</v>
      </c>
      <c r="D52" s="10" t="s">
        <v>9</v>
      </c>
      <c r="E52" s="10" t="s">
        <v>10</v>
      </c>
      <c r="F52" s="10" t="s">
        <v>61</v>
      </c>
      <c r="G52" s="10" t="s">
        <v>13</v>
      </c>
      <c r="H52" s="10" t="s">
        <v>11</v>
      </c>
      <c r="I52" s="10" t="s">
        <v>15</v>
      </c>
      <c r="J52" s="10" t="s">
        <v>14</v>
      </c>
      <c r="K52" s="26" t="s">
        <v>66</v>
      </c>
      <c r="L52" s="11" t="s">
        <v>8</v>
      </c>
      <c r="M52" s="11" t="s">
        <v>9</v>
      </c>
      <c r="N52" s="11" t="s">
        <v>10</v>
      </c>
      <c r="O52" s="11" t="s">
        <v>61</v>
      </c>
      <c r="P52" s="11" t="s">
        <v>13</v>
      </c>
      <c r="Q52" s="11" t="s">
        <v>11</v>
      </c>
      <c r="R52" s="11" t="s">
        <v>15</v>
      </c>
      <c r="S52" s="11" t="s">
        <v>14</v>
      </c>
    </row>
    <row r="53">
      <c r="A53" s="14" t="s">
        <v>16</v>
      </c>
      <c r="B53" s="27">
        <f>IFERROR(__xludf.DUMMYFUNCTION("('HV (Max.) - A3'!B3) * -1"),0.7923057619)</f>
        <v>0.7923057619</v>
      </c>
      <c r="C53" s="28">
        <f>IFERROR(__xludf.DUMMYFUNCTION("((B53-('HV (Max.) - A3'!C3*-1))*100)/B53"),72.55609869874404)</f>
        <v>72.5560987</v>
      </c>
      <c r="D53" s="28">
        <f>IFERROR(__xludf.DUMMYFUNCTION("((B53-('HV (Max.) - A3'!D3*-1))*100)/B53"),71.43109490240349)</f>
        <v>71.4310949</v>
      </c>
      <c r="E53" s="28">
        <f>IFERROR(__xludf.DUMMYFUNCTION("((B53-('HV (Max.) - A3'!E3*-1))*100)/B53"),12.820246158050816)</f>
        <v>12.82024616</v>
      </c>
      <c r="F53" s="28">
        <f>IFERROR(__xludf.DUMMYFUNCTION("((B53-('HV (Max.) - A3'!F3*-1))*100)/B53"),2.5464107886352148)</f>
        <v>2.546410789</v>
      </c>
      <c r="G53" s="28">
        <f>IFERROR(__xludf.DUMMYFUNCTION("((B53-('HV (Max.) - A3'!G3*-1))*100)/B53"),0.0)</f>
        <v>0</v>
      </c>
      <c r="H53" s="28">
        <f>IFERROR(__xludf.DUMMYFUNCTION("((B53-('HV (Max.) - A3'!H3*-1))*100)/B53"),0.0)</f>
        <v>0</v>
      </c>
      <c r="I53" s="28">
        <f>IFERROR(__xludf.DUMMYFUNCTION("((B53-('HV (Max.) - A3'!I3*-1))*100)/B53"),3.4515029443205694)</f>
        <v>3.451502944</v>
      </c>
      <c r="J53" s="28">
        <f>IFERROR(__xludf.DUMMYFUNCTION("((B53-('HV (Max.) - A3'!J3*-1))*100)/B53"),0.0)</f>
        <v>0</v>
      </c>
      <c r="K53" s="29">
        <f>IFERROR(__xludf.DUMMYFUNCTION("('HV (Max.) - A3'!K3) * -1"),0.8757999525)</f>
        <v>0.8757999525</v>
      </c>
      <c r="L53" s="30">
        <f>IFERROR(__xludf.DUMMYFUNCTION("((K53-('HV (Max.) - A3'!L3*-1))*100)/K53"),73.09759345984892)</f>
        <v>73.09759346</v>
      </c>
      <c r="M53" s="30">
        <f>IFERROR(__xludf.DUMMYFUNCTION("((K53-('HV (Max.) - A3'!M3*-1))*100)/K53"),73.09759345984892)</f>
        <v>73.09759346</v>
      </c>
      <c r="N53" s="30">
        <f>IFERROR(__xludf.DUMMYFUNCTION("((K53-('HV (Max.) - A3'!N3*-1))*100)/K53"),23.010306808620204)</f>
        <v>23.01030681</v>
      </c>
      <c r="O53" s="30">
        <f>IFERROR(__xludf.DUMMYFUNCTION("((K53-('HV (Max.) - A3'!O3*-1))*100)/K53"),5.53523802571798)</f>
        <v>5.535238026</v>
      </c>
      <c r="P53" s="30">
        <f>IFERROR(__xludf.DUMMYFUNCTION("((K53-('HV (Max.) - A3'!P3*-1))*100)/K53"),2.6664648283364607)</f>
        <v>2.666464828</v>
      </c>
      <c r="Q53" s="30">
        <f>IFERROR(__xludf.DUMMYFUNCTION("((K53-('HV (Max.) - A3'!Q3*-1))*100)/K53"),2.656447392305605)</f>
        <v>2.656447392</v>
      </c>
      <c r="R53" s="30">
        <f>IFERROR(__xludf.DUMMYFUNCTION("((K53-('HV (Max.) - A3'!R3*-1))*100)/K53"),2.6664648283364607)</f>
        <v>2.666464828</v>
      </c>
      <c r="S53" s="30">
        <f>IFERROR(__xludf.DUMMYFUNCTION("((K53-('HV (Max.) - A3'!S3*-1))*100)/K53"),2.656447392305605)</f>
        <v>2.656447392</v>
      </c>
    </row>
    <row r="54">
      <c r="A54" s="14" t="s">
        <v>17</v>
      </c>
      <c r="B54" s="27">
        <f>IFERROR(__xludf.DUMMYFUNCTION("('HV (Max.) - A3'!B4) * -1"),0.7735543165)</f>
        <v>0.7735543165</v>
      </c>
      <c r="C54" s="28">
        <f>IFERROR(__xludf.DUMMYFUNCTION("((B54-('HV (Max.) - A3'!C4*-1))*100)/B54"),75.77421904283304)</f>
        <v>75.77421904</v>
      </c>
      <c r="D54" s="28">
        <f>IFERROR(__xludf.DUMMYFUNCTION("((B54-('HV (Max.) - A3'!D4*-1))*100)/B54"),74.05829450891571)</f>
        <v>74.05829451</v>
      </c>
      <c r="E54" s="28">
        <f>IFERROR(__xludf.DUMMYFUNCTION("((B54-('HV (Max.) - A3'!E4*-1))*100)/B54"),14.502514691869088)</f>
        <v>14.50251469</v>
      </c>
      <c r="F54" s="28">
        <f>IFERROR(__xludf.DUMMYFUNCTION("((B54-('HV (Max.) - A3'!F4*-1))*100)/B54"),4.091017104420747)</f>
        <v>4.091017104</v>
      </c>
      <c r="G54" s="28">
        <f>IFERROR(__xludf.DUMMYFUNCTION("((B54-('HV (Max.) - A3'!G4*-1))*100)/B54"),1.6718488571707115)</f>
        <v>1.671848857</v>
      </c>
      <c r="H54" s="28">
        <f>IFERROR(__xludf.DUMMYFUNCTION("((B54-('HV (Max.) - A3'!H4*-1))*100)/B54"),1.6718488571707115)</f>
        <v>1.671848857</v>
      </c>
      <c r="I54" s="28">
        <f>IFERROR(__xludf.DUMMYFUNCTION("((B54-('HV (Max.) - A3'!I4*-1))*100)/B54"),4.586981113432894)</f>
        <v>4.586981113</v>
      </c>
      <c r="J54" s="28">
        <f>IFERROR(__xludf.DUMMYFUNCTION("((B54-('HV (Max.) - A3'!J4*-1))*100)/B54"),1.6718488571707115)</f>
        <v>1.671848857</v>
      </c>
      <c r="K54" s="29">
        <f>IFERROR(__xludf.DUMMYFUNCTION("('HV (Max.) - A3'!K4) * -1"),0.6538934504)</f>
        <v>0.6538934504</v>
      </c>
      <c r="L54" s="30">
        <f>IFERROR(__xludf.DUMMYFUNCTION("((K54-('HV (Max.) - A3'!L4*-1))*100)/K54"),92.83113475424405)</f>
        <v>92.83113475</v>
      </c>
      <c r="M54" s="30">
        <f>IFERROR(__xludf.DUMMYFUNCTION("((K54-('HV (Max.) - A3'!M4*-1))*100)/K54"),92.3665728614553)</f>
        <v>92.36657286</v>
      </c>
      <c r="N54" s="30">
        <f>IFERROR(__xludf.DUMMYFUNCTION("((K54-('HV (Max.) - A3'!N4*-1))*100)/K54"),11.401546575270604)</f>
        <v>11.40154658</v>
      </c>
      <c r="O54" s="30">
        <f>IFERROR(__xludf.DUMMYFUNCTION("((K54-('HV (Max.) - A3'!O4*-1))*100)/K54"),1.9827944739420147)</f>
        <v>1.982794474</v>
      </c>
      <c r="P54" s="30">
        <f>IFERROR(__xludf.DUMMYFUNCTION("((K54-('HV (Max.) - A3'!P4*-1))*100)/K54"),0.0)</f>
        <v>0</v>
      </c>
      <c r="Q54" s="30">
        <f>IFERROR(__xludf.DUMMYFUNCTION("((K54-('HV (Max.) - A3'!Q4*-1))*100)/K54"),0.0)</f>
        <v>0</v>
      </c>
      <c r="R54" s="30">
        <f>IFERROR(__xludf.DUMMYFUNCTION("((K54-('HV (Max.) - A3'!R4*-1))*100)/K54"),2.2516571761031425)</f>
        <v>2.251657176</v>
      </c>
      <c r="S54" s="30">
        <f>IFERROR(__xludf.DUMMYFUNCTION("((K54-('HV (Max.) - A3'!S4*-1))*100)/K54"),0.0)</f>
        <v>0</v>
      </c>
    </row>
    <row r="55">
      <c r="A55" s="14" t="s">
        <v>18</v>
      </c>
      <c r="B55" s="27">
        <f>IFERROR(__xludf.DUMMYFUNCTION("('HV (Max.) - A3'!B5) * -1"),0.7508778752)</f>
        <v>0.7508778752</v>
      </c>
      <c r="C55" s="28">
        <f>IFERROR(__xludf.DUMMYFUNCTION("((B55-('HV (Max.) - A3'!C5*-1))*100)/B55"),75.54793397646776)</f>
        <v>75.54793398</v>
      </c>
      <c r="D55" s="28">
        <f>IFERROR(__xludf.DUMMYFUNCTION("((B55-('HV (Max.) - A3'!D5*-1))*100)/B55"),75.54793397646776)</f>
        <v>75.54793398</v>
      </c>
      <c r="E55" s="28">
        <f>IFERROR(__xludf.DUMMYFUNCTION("((B55-('HV (Max.) - A3'!E5*-1))*100)/B55"),10.4023519376164)</f>
        <v>10.40235194</v>
      </c>
      <c r="F55" s="28">
        <f>IFERROR(__xludf.DUMMYFUNCTION("((B55-('HV (Max.) - A3'!F5*-1))*100)/B55"),1.4646601615569925)</f>
        <v>1.464660162</v>
      </c>
      <c r="G55" s="28">
        <f>IFERROR(__xludf.DUMMYFUNCTION("((B55-('HV (Max.) - A3'!G5*-1))*100)/B55"),0.0)</f>
        <v>0</v>
      </c>
      <c r="H55" s="28">
        <f>IFERROR(__xludf.DUMMYFUNCTION("((B55-('HV (Max.) - A3'!H5*-1))*100)/B55"),0.0)</f>
        <v>0</v>
      </c>
      <c r="I55" s="28">
        <f>IFERROR(__xludf.DUMMYFUNCTION("((B55-('HV (Max.) - A3'!I5*-1))*100)/B55"),0.4398770837561712)</f>
        <v>0.4398770838</v>
      </c>
      <c r="J55" s="28">
        <f>IFERROR(__xludf.DUMMYFUNCTION("((B55-('HV (Max.) - A3'!J5*-1))*100)/B55"),0.0)</f>
        <v>0</v>
      </c>
      <c r="K55" s="29">
        <f>IFERROR(__xludf.DUMMYFUNCTION("('HV (Max.) - A3'!K5) * -1"),0.7238826176)</f>
        <v>0.7238826176</v>
      </c>
      <c r="L55" s="30">
        <f>IFERROR(__xludf.DUMMYFUNCTION("((K55-('HV (Max.) - A3'!L5*-1))*100)/K55"),83.58035649563303)</f>
        <v>83.5803565</v>
      </c>
      <c r="M55" s="30">
        <f>IFERROR(__xludf.DUMMYFUNCTION("((K55-('HV (Max.) - A3'!M5*-1))*100)/K55"),80.00234219189518)</f>
        <v>80.00234219</v>
      </c>
      <c r="N55" s="30">
        <f>IFERROR(__xludf.DUMMYFUNCTION("((K55-('HV (Max.) - A3'!N5*-1))*100)/K55"),20.230447470272278)</f>
        <v>20.23044747</v>
      </c>
      <c r="O55" s="30">
        <f>IFERROR(__xludf.DUMMYFUNCTION("((K55-('HV (Max.) - A3'!O5*-1))*100)/K55"),2.3159995132337743)</f>
        <v>2.315999513</v>
      </c>
      <c r="P55" s="30">
        <f>IFERROR(__xludf.DUMMYFUNCTION("((K55-('HV (Max.) - A3'!P5*-1))*100)/K55"),0.0)</f>
        <v>0</v>
      </c>
      <c r="Q55" s="30">
        <f>IFERROR(__xludf.DUMMYFUNCTION("((K55-('HV (Max.) - A3'!Q5*-1))*100)/K55"),0.0)</f>
        <v>0</v>
      </c>
      <c r="R55" s="30">
        <f>IFERROR(__xludf.DUMMYFUNCTION("((K55-('HV (Max.) - A3'!R5*-1))*100)/K55"),0.33270233894893414)</f>
        <v>0.3327023389</v>
      </c>
      <c r="S55" s="30">
        <f>IFERROR(__xludf.DUMMYFUNCTION("((K55-('HV (Max.) - A3'!S5*-1))*100)/K55"),0.0)</f>
        <v>0</v>
      </c>
    </row>
    <row r="56">
      <c r="A56" s="14" t="s">
        <v>19</v>
      </c>
      <c r="B56" s="27">
        <f>IFERROR(__xludf.DUMMYFUNCTION("('HV (Max.) - A3'!B6) * -1"),0.8673945986)</f>
        <v>0.8673945986</v>
      </c>
      <c r="C56" s="28">
        <f>IFERROR(__xludf.DUMMYFUNCTION("((B56-('HV (Max.) - A3'!C6*-1))*100)/B56"),82.74922998811489)</f>
        <v>82.74922999</v>
      </c>
      <c r="D56" s="28">
        <f>IFERROR(__xludf.DUMMYFUNCTION("((B56-('HV (Max.) - A3'!D6*-1))*100)/B56"),82.5613892518883)</f>
        <v>82.56138925</v>
      </c>
      <c r="E56" s="28">
        <f>IFERROR(__xludf.DUMMYFUNCTION("((B56-('HV (Max.) - A3'!E6*-1))*100)/B56"),10.127506366973586)</f>
        <v>10.12750637</v>
      </c>
      <c r="F56" s="28">
        <f>IFERROR(__xludf.DUMMYFUNCTION("((B56-('HV (Max.) - A3'!F6*-1))*100)/B56"),3.8971043807004815)</f>
        <v>3.897104381</v>
      </c>
      <c r="G56" s="28">
        <f>IFERROR(__xludf.DUMMYFUNCTION("((B56-('HV (Max.) - A3'!G6*-1))*100)/B56"),1.1441668435586727)</f>
        <v>1.144166844</v>
      </c>
      <c r="H56" s="28">
        <f>IFERROR(__xludf.DUMMYFUNCTION("((B56-('HV (Max.) - A3'!H6*-1))*100)/B56"),1.1441668435586727)</f>
        <v>1.144166844</v>
      </c>
      <c r="I56" s="28">
        <f>IFERROR(__xludf.DUMMYFUNCTION("((B56-('HV (Max.) - A3'!I6*-1))*100)/B56"),2.0810450202404573)</f>
        <v>2.08104502</v>
      </c>
      <c r="J56" s="28">
        <f>IFERROR(__xludf.DUMMYFUNCTION("((B56-('HV (Max.) - A3'!J6*-1))*100)/B56"),1.1441668435586727)</f>
        <v>1.144166844</v>
      </c>
      <c r="K56" s="29">
        <f>IFERROR(__xludf.DUMMYFUNCTION("('HV (Max.) - A3'!K6) * -1"),0.7768573718)</f>
        <v>0.7768573718</v>
      </c>
      <c r="L56" s="30">
        <f>IFERROR(__xludf.DUMMYFUNCTION("((K56-('HV (Max.) - A3'!L6*-1))*100)/K56"),85.90439509555286)</f>
        <v>85.9043951</v>
      </c>
      <c r="M56" s="30">
        <f>IFERROR(__xludf.DUMMYFUNCTION("((K56-('HV (Max.) - A3'!M6*-1))*100)/K56"),83.06834741167091)</f>
        <v>83.06834741</v>
      </c>
      <c r="N56" s="30">
        <f>IFERROR(__xludf.DUMMYFUNCTION("((K56-('HV (Max.) - A3'!N6*-1))*100)/K56"),30.86653959972116)</f>
        <v>30.8665396</v>
      </c>
      <c r="O56" s="30">
        <f>IFERROR(__xludf.DUMMYFUNCTION("((K56-('HV (Max.) - A3'!O6*-1))*100)/K56"),4.883791372422944)</f>
        <v>4.883791372</v>
      </c>
      <c r="P56" s="30">
        <f>IFERROR(__xludf.DUMMYFUNCTION("((K56-('HV (Max.) - A3'!P6*-1))*100)/K56"),1.3089409676887105)</f>
        <v>1.308940968</v>
      </c>
      <c r="Q56" s="30">
        <f>IFERROR(__xludf.DUMMYFUNCTION("((K56-('HV (Max.) - A3'!Q6*-1))*100)/K56"),1.3089409676887105)</f>
        <v>1.308940968</v>
      </c>
      <c r="R56" s="30">
        <f>IFERROR(__xludf.DUMMYFUNCTION("((K56-('HV (Max.) - A3'!R6*-1))*100)/K56"),2.6155350824464016)</f>
        <v>2.615535082</v>
      </c>
      <c r="S56" s="30">
        <f>IFERROR(__xludf.DUMMYFUNCTION("((K56-('HV (Max.) - A3'!S6*-1))*100)/K56"),1.3089409676887105)</f>
        <v>1.308940968</v>
      </c>
    </row>
    <row r="57">
      <c r="A57" s="14" t="s">
        <v>20</v>
      </c>
      <c r="B57" s="27">
        <f>IFERROR(__xludf.DUMMYFUNCTION("('HV (Max.) - A3'!B7) * -1"),0.8984518402)</f>
        <v>0.8984518402</v>
      </c>
      <c r="C57" s="28">
        <f>IFERROR(__xludf.DUMMYFUNCTION("((B57-('HV (Max.) - A3'!C7*-1))*100)/B57"),66.76547064186201)</f>
        <v>66.76547064</v>
      </c>
      <c r="D57" s="28">
        <f>IFERROR(__xludf.DUMMYFUNCTION("((B57-('HV (Max.) - A3'!D7*-1))*100)/B57"),62.90649910341181)</f>
        <v>62.9064991</v>
      </c>
      <c r="E57" s="28">
        <f>IFERROR(__xludf.DUMMYFUNCTION("((B57-('HV (Max.) - A3'!E7*-1))*100)/B57"),21.18011786337259)</f>
        <v>21.18011786</v>
      </c>
      <c r="F57" s="28">
        <f>IFERROR(__xludf.DUMMYFUNCTION("((B57-('HV (Max.) - A3'!F7*-1))*100)/B57"),4.502458951054641)</f>
        <v>4.502458951</v>
      </c>
      <c r="G57" s="28">
        <f>IFERROR(__xludf.DUMMYFUNCTION("((B57-('HV (Max.) - A3'!G7*-1))*100)/B57"),0.03157269953800579)</f>
        <v>0.03157269954</v>
      </c>
      <c r="H57" s="28">
        <f>IFERROR(__xludf.DUMMYFUNCTION("((B57-('HV (Max.) - A3'!H7*-1))*100)/B57"),0.0)</f>
        <v>0</v>
      </c>
      <c r="I57" s="28">
        <f>IFERROR(__xludf.DUMMYFUNCTION("((B57-('HV (Max.) - A3'!I7*-1))*100)/B57"),1.330486150191317)</f>
        <v>1.33048615</v>
      </c>
      <c r="J57" s="28">
        <f>IFERROR(__xludf.DUMMYFUNCTION("((B57-('HV (Max.) - A3'!J7*-1))*100)/B57"),0.0)</f>
        <v>0</v>
      </c>
      <c r="K57" s="29">
        <f>IFERROR(__xludf.DUMMYFUNCTION("('HV (Max.) - A3'!K7) * -1"),0.6948144146)</f>
        <v>0.6948144146</v>
      </c>
      <c r="L57" s="30">
        <f>IFERROR(__xludf.DUMMYFUNCTION("((K57-('HV (Max.) - A3'!L7*-1))*100)/K57"),87.18820509484577)</f>
        <v>87.18820509</v>
      </c>
      <c r="M57" s="30">
        <f>IFERROR(__xludf.DUMMYFUNCTION("((K57-('HV (Max.) - A3'!M7*-1))*100)/K57"),87.05468582833285)</f>
        <v>87.05468583</v>
      </c>
      <c r="N57" s="30">
        <f>IFERROR(__xludf.DUMMYFUNCTION("((K57-('HV (Max.) - A3'!N7*-1))*100)/K57"),26.39278403652164)</f>
        <v>26.39278404</v>
      </c>
      <c r="O57" s="30">
        <f>IFERROR(__xludf.DUMMYFUNCTION("((K57-('HV (Max.) - A3'!O7*-1))*100)/K57"),2.0672407477713395)</f>
        <v>2.067240748</v>
      </c>
      <c r="P57" s="30">
        <f>IFERROR(__xludf.DUMMYFUNCTION("((K57-('HV (Max.) - A3'!P7*-1))*100)/K57"),0.0)</f>
        <v>0</v>
      </c>
      <c r="Q57" s="30">
        <f>IFERROR(__xludf.DUMMYFUNCTION("((K57-('HV (Max.) - A3'!Q7*-1))*100)/K57"),0.0)</f>
        <v>0</v>
      </c>
      <c r="R57" s="30">
        <f>IFERROR(__xludf.DUMMYFUNCTION("((K57-('HV (Max.) - A3'!R7*-1))*100)/K57"),1.7384073712623977)</f>
        <v>1.738407371</v>
      </c>
      <c r="S57" s="30">
        <f>IFERROR(__xludf.DUMMYFUNCTION("((K57-('HV (Max.) - A3'!S7*-1))*100)/K57"),0.0)</f>
        <v>0</v>
      </c>
    </row>
    <row r="58">
      <c r="A58" s="14" t="s">
        <v>21</v>
      </c>
      <c r="B58" s="27">
        <f>IFERROR(__xludf.DUMMYFUNCTION("('HV (Max.) - A3'!B8) * -1"),0.7883918566)</f>
        <v>0.7883918566</v>
      </c>
      <c r="C58" s="28">
        <f>IFERROR(__xludf.DUMMYFUNCTION("((B58-('HV (Max.) - A3'!C8*-1))*100)/B58"),75.32677136736422)</f>
        <v>75.32677137</v>
      </c>
      <c r="D58" s="28">
        <f>IFERROR(__xludf.DUMMYFUNCTION("((B58-('HV (Max.) - A3'!D8*-1))*100)/B58"),75.24508074681704)</f>
        <v>75.24508075</v>
      </c>
      <c r="E58" s="28">
        <f>IFERROR(__xludf.DUMMYFUNCTION("((B58-('HV (Max.) - A3'!E8*-1))*100)/B58"),15.335395018081924)</f>
        <v>15.33539502</v>
      </c>
      <c r="F58" s="28">
        <f>IFERROR(__xludf.DUMMYFUNCTION("((B58-('HV (Max.) - A3'!F8*-1))*100)/B58"),2.871746506570901)</f>
        <v>2.871746507</v>
      </c>
      <c r="G58" s="28">
        <f>IFERROR(__xludf.DUMMYFUNCTION("((B58-('HV (Max.) - A3'!G8*-1))*100)/B58"),0.327523715317884)</f>
        <v>0.3275237153</v>
      </c>
      <c r="H58" s="28">
        <f>IFERROR(__xludf.DUMMYFUNCTION("((B58-('HV (Max.) - A3'!H8*-1))*100)/B58"),0.31734736718233003)</f>
        <v>0.3173473672</v>
      </c>
      <c r="I58" s="28">
        <f>IFERROR(__xludf.DUMMYFUNCTION("((B58-('HV (Max.) - A3'!I8*-1))*100)/B58"),3.220694567991058)</f>
        <v>3.220694568</v>
      </c>
      <c r="J58" s="28">
        <f>IFERROR(__xludf.DUMMYFUNCTION("((B58-('HV (Max.) - A3'!J8*-1))*100)/B58"),0.31734736718233003)</f>
        <v>0.3173473672</v>
      </c>
      <c r="K58" s="29">
        <f>IFERROR(__xludf.DUMMYFUNCTION("('HV (Max.) - A3'!K8) * -1"),0.8116239093)</f>
        <v>0.8116239093</v>
      </c>
      <c r="L58" s="30">
        <f>IFERROR(__xludf.DUMMYFUNCTION("((K58-('HV (Max.) - A3'!L8*-1))*100)/K58"),87.59852862308969)</f>
        <v>87.59852862</v>
      </c>
      <c r="M58" s="30">
        <f>IFERROR(__xludf.DUMMYFUNCTION("((K58-('HV (Max.) - A3'!M8*-1))*100)/K58"),86.9894595279883)</f>
        <v>86.98945953</v>
      </c>
      <c r="N58" s="30">
        <f>IFERROR(__xludf.DUMMYFUNCTION("((K58-('HV (Max.) - A3'!N8*-1))*100)/K58"),13.337166938977946)</f>
        <v>13.33716694</v>
      </c>
      <c r="O58" s="30">
        <f>IFERROR(__xludf.DUMMYFUNCTION("((K58-('HV (Max.) - A3'!O8*-1))*100)/K58"),2.0048837908230297)</f>
        <v>2.004883791</v>
      </c>
      <c r="P58" s="30">
        <f>IFERROR(__xludf.DUMMYFUNCTION("((K58-('HV (Max.) - A3'!P8*-1))*100)/K58"),0.8963365071729275)</f>
        <v>0.8963365072</v>
      </c>
      <c r="Q58" s="30">
        <f>IFERROR(__xludf.DUMMYFUNCTION("((K58-('HV (Max.) - A3'!Q8*-1))*100)/K58"),0.8937885413277834)</f>
        <v>0.8937885413</v>
      </c>
      <c r="R58" s="30">
        <f>IFERROR(__xludf.DUMMYFUNCTION("((K58-('HV (Max.) - A3'!R8*-1))*100)/K58"),3.2043246511096766)</f>
        <v>3.204324651</v>
      </c>
      <c r="S58" s="30">
        <f>IFERROR(__xludf.DUMMYFUNCTION("((K58-('HV (Max.) - A3'!S8*-1))*100)/K58"),0.8937885413277834)</f>
        <v>0.8937885413</v>
      </c>
    </row>
    <row r="59">
      <c r="A59" s="14" t="s">
        <v>22</v>
      </c>
      <c r="B59" s="27">
        <f>IFERROR(__xludf.DUMMYFUNCTION("('HV (Max.) - A3'!B9) * -1"),0.9231822893)</f>
        <v>0.9231822893</v>
      </c>
      <c r="C59" s="28">
        <f>IFERROR(__xludf.DUMMYFUNCTION("((B59-('HV (Max.) - A3'!C9*-1))*100)/B59"),64.2700723114923)</f>
        <v>64.27007231</v>
      </c>
      <c r="D59" s="28">
        <f>IFERROR(__xludf.DUMMYFUNCTION("((B59-('HV (Max.) - A3'!D9*-1))*100)/B59"),63.048359586852406)</f>
        <v>63.04835959</v>
      </c>
      <c r="E59" s="28">
        <f>IFERROR(__xludf.DUMMYFUNCTION("((B59-('HV (Max.) - A3'!E9*-1))*100)/B59"),27.315486467056076)</f>
        <v>27.31548647</v>
      </c>
      <c r="F59" s="28">
        <f>IFERROR(__xludf.DUMMYFUNCTION("((B59-('HV (Max.) - A3'!F9*-1))*100)/B59"),5.715939929914779)</f>
        <v>5.71593993</v>
      </c>
      <c r="G59" s="28">
        <f>IFERROR(__xludf.DUMMYFUNCTION("((B59-('HV (Max.) - A3'!G9*-1))*100)/B59"),3.5153232439724684)</f>
        <v>3.515323244</v>
      </c>
      <c r="H59" s="28">
        <f>IFERROR(__xludf.DUMMYFUNCTION("((B59-('HV (Max.) - A3'!H9*-1))*100)/B59"),1.146068801647233)</f>
        <v>1.146068802</v>
      </c>
      <c r="I59" s="28">
        <f>IFERROR(__xludf.DUMMYFUNCTION("((B59-('HV (Max.) - A3'!I9*-1))*100)/B59"),19.11966518918357)</f>
        <v>19.11966519</v>
      </c>
      <c r="J59" s="28">
        <f>IFERROR(__xludf.DUMMYFUNCTION("((B59-('HV (Max.) - A3'!J9*-1))*100)/B59"),2.2181174007927282)</f>
        <v>2.218117401</v>
      </c>
      <c r="K59" s="29">
        <f>IFERROR(__xludf.DUMMYFUNCTION("('HV (Max.) - A3'!K9) * -1"),0.9197108907)</f>
        <v>0.9197108907</v>
      </c>
      <c r="L59" s="30">
        <f>IFERROR(__xludf.DUMMYFUNCTION("((K59-('HV (Max.) - A3'!L9*-1))*100)/K59"),76.78224030407254)</f>
        <v>76.7822403</v>
      </c>
      <c r="M59" s="30">
        <f>IFERROR(__xludf.DUMMYFUNCTION("((K59-('HV (Max.) - A3'!M9*-1))*100)/K59"),72.97609016994106)</f>
        <v>72.97609017</v>
      </c>
      <c r="N59" s="30">
        <f>IFERROR(__xludf.DUMMYFUNCTION("((K59-('HV (Max.) - A3'!N9*-1))*100)/K59"),25.834301844480702)</f>
        <v>25.83430184</v>
      </c>
      <c r="O59" s="30">
        <f>IFERROR(__xludf.DUMMYFUNCTION("((K59-('HV (Max.) - A3'!O9*-1))*100)/K59"),5.211231527716436)</f>
        <v>5.211231528</v>
      </c>
      <c r="P59" s="30">
        <f>IFERROR(__xludf.DUMMYFUNCTION("((K59-('HV (Max.) - A3'!P9*-1))*100)/K59"),2.6342125166703743)</f>
        <v>2.634212517</v>
      </c>
      <c r="Q59" s="30">
        <f>IFERROR(__xludf.DUMMYFUNCTION("((K59-('HV (Max.) - A3'!Q9*-1))*100)/K59"),4.5917692317264684)</f>
        <v>4.591769232</v>
      </c>
      <c r="R59" s="30">
        <f>IFERROR(__xludf.DUMMYFUNCTION("((K59-('HV (Max.) - A3'!R9*-1))*100)/K59"),11.762673998310637)</f>
        <v>11.762674</v>
      </c>
      <c r="S59" s="30">
        <f>IFERROR(__xludf.DUMMYFUNCTION("((K59-('HV (Max.) - A3'!S9*-1))*100)/K59"),2.602619577743787)</f>
        <v>2.602619578</v>
      </c>
    </row>
    <row r="60">
      <c r="A60" s="14" t="s">
        <v>23</v>
      </c>
      <c r="B60" s="27">
        <f>IFERROR(__xludf.DUMMYFUNCTION("('HV (Max.) - A3'!B10) * -1"),0.8756654926)</f>
        <v>0.8756654926</v>
      </c>
      <c r="C60" s="28">
        <f>IFERROR(__xludf.DUMMYFUNCTION("((B60-('HV (Max.) - A3'!C10*-1))*100)/B60"),69.74130543693416)</f>
        <v>69.74130544</v>
      </c>
      <c r="D60" s="28">
        <f>IFERROR(__xludf.DUMMYFUNCTION("((B60-('HV (Max.) - A3'!D10*-1))*100)/B60"),69.00321737081546)</f>
        <v>69.00321737</v>
      </c>
      <c r="E60" s="28">
        <f>IFERROR(__xludf.DUMMYFUNCTION("((B60-('HV (Max.) - A3'!E10*-1))*100)/B60"),16.08835010521003)</f>
        <v>16.08835011</v>
      </c>
      <c r="F60" s="28">
        <f>IFERROR(__xludf.DUMMYFUNCTION("((B60-('HV (Max.) - A3'!F10*-1))*100)/B60"),5.0027697071775625)</f>
        <v>5.002769707</v>
      </c>
      <c r="G60" s="28">
        <f>IFERROR(__xludf.DUMMYFUNCTION("((B60-('HV (Max.) - A3'!G10*-1))*100)/B60"),2.6596863753130426)</f>
        <v>2.659686375</v>
      </c>
      <c r="H60" s="28">
        <f>IFERROR(__xludf.DUMMYFUNCTION("((B60-('HV (Max.) - A3'!H10*-1))*100)/B60"),2.176628217175455)</f>
        <v>2.176628217</v>
      </c>
      <c r="I60" s="28">
        <f>IFERROR(__xludf.DUMMYFUNCTION("((B60-('HV (Max.) - A3'!I10*-1))*100)/B60"),10.775181504508682)</f>
        <v>10.7751815</v>
      </c>
      <c r="J60" s="28">
        <f>IFERROR(__xludf.DUMMYFUNCTION("((B60-('HV (Max.) - A3'!J10*-1))*100)/B60"),2.611270170314353)</f>
        <v>2.61127017</v>
      </c>
      <c r="K60" s="29">
        <f>IFERROR(__xludf.DUMMYFUNCTION("('HV (Max.) - A3'!K10) * -1"),0.8446884357)</f>
        <v>0.8446884357</v>
      </c>
      <c r="L60" s="30">
        <f>IFERROR(__xludf.DUMMYFUNCTION("((K60-('HV (Max.) - A3'!L10*-1))*100)/K60"),75.7501238157415)</f>
        <v>75.75012382</v>
      </c>
      <c r="M60" s="30">
        <f>IFERROR(__xludf.DUMMYFUNCTION("((K60-('HV (Max.) - A3'!M10*-1))*100)/K60"),73.56454463414646)</f>
        <v>73.56454463</v>
      </c>
      <c r="N60" s="30">
        <f>IFERROR(__xludf.DUMMYFUNCTION("((K60-('HV (Max.) - A3'!N10*-1))*100)/K60"),23.75614199497202)</f>
        <v>23.75614199</v>
      </c>
      <c r="O60" s="30">
        <f>IFERROR(__xludf.DUMMYFUNCTION("((K60-('HV (Max.) - A3'!O10*-1))*100)/K60"),5.613203981028527)</f>
        <v>5.613203981</v>
      </c>
      <c r="P60" s="30">
        <f>IFERROR(__xludf.DUMMYFUNCTION("((K60-('HV (Max.) - A3'!P10*-1))*100)/K60"),5.373129781561182)</f>
        <v>5.373129782</v>
      </c>
      <c r="Q60" s="30">
        <f>IFERROR(__xludf.DUMMYFUNCTION("((K60-('HV (Max.) - A3'!Q10*-1))*100)/K60"),8.85853589767572)</f>
        <v>8.858535898</v>
      </c>
      <c r="R60" s="30">
        <f>IFERROR(__xludf.DUMMYFUNCTION("((K60-('HV (Max.) - A3'!R10*-1))*100)/K60"),12.472400490802649)</f>
        <v>12.47240049</v>
      </c>
      <c r="S60" s="30">
        <f>IFERROR(__xludf.DUMMYFUNCTION("((K60-('HV (Max.) - A3'!S10*-1))*100)/K60"),3.4896461173370286)</f>
        <v>3.489646117</v>
      </c>
    </row>
    <row r="61">
      <c r="A61" s="14" t="s">
        <v>24</v>
      </c>
      <c r="B61" s="27">
        <f>IFERROR(__xludf.DUMMYFUNCTION("('HV (Max.) - A3'!B11) * -1"),0.8719387372)</f>
        <v>0.8719387372</v>
      </c>
      <c r="C61" s="28">
        <f>IFERROR(__xludf.DUMMYFUNCTION("((B61-('HV (Max.) - A3'!C11*-1))*100)/B61"),70.36573177953309)</f>
        <v>70.36573178</v>
      </c>
      <c r="D61" s="28">
        <f>IFERROR(__xludf.DUMMYFUNCTION("((B61-('HV (Max.) - A3'!D11*-1))*100)/B61"),66.04733219553077)</f>
        <v>66.0473322</v>
      </c>
      <c r="E61" s="28">
        <f>IFERROR(__xludf.DUMMYFUNCTION("((B61-('HV (Max.) - A3'!E11*-1))*100)/B61"),23.272122976393906)</f>
        <v>23.27212298</v>
      </c>
      <c r="F61" s="28">
        <f>IFERROR(__xludf.DUMMYFUNCTION("((B61-('HV (Max.) - A3'!F11*-1))*100)/B61"),5.544413195271455)</f>
        <v>5.544413195</v>
      </c>
      <c r="G61" s="28">
        <f>IFERROR(__xludf.DUMMYFUNCTION("((B61-('HV (Max.) - A3'!G11*-1))*100)/B61"),1.0294776016977312)</f>
        <v>1.029477602</v>
      </c>
      <c r="H61" s="28">
        <f>IFERROR(__xludf.DUMMYFUNCTION("((B61-('HV (Max.) - A3'!H11*-1))*100)/B61"),0.7401188437531069)</f>
        <v>0.7401188438</v>
      </c>
      <c r="I61" s="28">
        <f>IFERROR(__xludf.DUMMYFUNCTION("((B61-('HV (Max.) - A3'!I11*-1))*100)/B61"),10.702615713538924)</f>
        <v>10.70261571</v>
      </c>
      <c r="J61" s="28">
        <f>IFERROR(__xludf.DUMMYFUNCTION("((B61-('HV (Max.) - A3'!J11*-1))*100)/B61"),1.7172040031254676)</f>
        <v>1.717204003</v>
      </c>
      <c r="K61" s="29">
        <f>IFERROR(__xludf.DUMMYFUNCTION("('HV (Max.) - A3'!K11) * -1"),0.9370154334)</f>
        <v>0.9370154334</v>
      </c>
      <c r="L61" s="30">
        <f>IFERROR(__xludf.DUMMYFUNCTION("((K61-('HV (Max.) - A3'!L11*-1))*100)/K61"),74.17799764278674)</f>
        <v>74.17799764</v>
      </c>
      <c r="M61" s="30">
        <f>IFERROR(__xludf.DUMMYFUNCTION("((K61-('HV (Max.) - A3'!M11*-1))*100)/K61"),69.60792262869467)</f>
        <v>69.60792263</v>
      </c>
      <c r="N61" s="30">
        <f>IFERROR(__xludf.DUMMYFUNCTION("((K61-('HV (Max.) - A3'!N11*-1))*100)/K61"),22.723999307821863)</f>
        <v>22.72399931</v>
      </c>
      <c r="O61" s="30">
        <f>IFERROR(__xludf.DUMMYFUNCTION("((K61-('HV (Max.) - A3'!O11*-1))*100)/K61"),5.712509921610862)</f>
        <v>5.712509922</v>
      </c>
      <c r="P61" s="30">
        <f>IFERROR(__xludf.DUMMYFUNCTION("((K61-('HV (Max.) - A3'!P11*-1))*100)/K61"),2.267459333397152)</f>
        <v>2.267459333</v>
      </c>
      <c r="Q61" s="30">
        <f>IFERROR(__xludf.DUMMYFUNCTION("((K61-('HV (Max.) - A3'!Q11*-1))*100)/K61"),4.08371713378868)</f>
        <v>4.083717134</v>
      </c>
      <c r="R61" s="30">
        <f>IFERROR(__xludf.DUMMYFUNCTION("((K61-('HV (Max.) - A3'!R11*-1))*100)/K61"),15.445185857277046)</f>
        <v>15.44518586</v>
      </c>
      <c r="S61" s="30">
        <f>IFERROR(__xludf.DUMMYFUNCTION("((K61-('HV (Max.) - A3'!S11*-1))*100)/K61"),2.1884955006121043)</f>
        <v>2.188495501</v>
      </c>
    </row>
    <row r="62">
      <c r="A62" s="14" t="s">
        <v>25</v>
      </c>
      <c r="B62" s="27">
        <f>IFERROR(__xludf.DUMMYFUNCTION("('HV (Max.) - A3'!B12) * -1"),0.9018268369)</f>
        <v>0.9018268369</v>
      </c>
      <c r="C62" s="28">
        <f>IFERROR(__xludf.DUMMYFUNCTION("((B62-('HV (Max.) - A3'!C12*-1))*100)/B62"),81.63786652554873)</f>
        <v>81.63786653</v>
      </c>
      <c r="D62" s="28">
        <f>IFERROR(__xludf.DUMMYFUNCTION("((B62-('HV (Max.) - A3'!D12*-1))*100)/B62"),76.41729676940378)</f>
        <v>76.41729677</v>
      </c>
      <c r="E62" s="28">
        <f>IFERROR(__xludf.DUMMYFUNCTION("((B62-('HV (Max.) - A3'!E12*-1))*100)/B62"),30.950851447210912)</f>
        <v>30.95085145</v>
      </c>
      <c r="F62" s="28">
        <f>IFERROR(__xludf.DUMMYFUNCTION("((B62-('HV (Max.) - A3'!F12*-1))*100)/B62"),7.113869057227209)</f>
        <v>7.113869057</v>
      </c>
      <c r="G62" s="28">
        <f>IFERROR(__xludf.DUMMYFUNCTION("((B62-('HV (Max.) - A3'!G12*-1))*100)/B62"),2.719928238587109)</f>
        <v>2.719928239</v>
      </c>
      <c r="H62" s="28">
        <f>IFERROR(__xludf.DUMMYFUNCTION("((B62-('HV (Max.) - A3'!H12*-1))*100)/B62"),9.111586863223009)</f>
        <v>9.111586863</v>
      </c>
      <c r="I62" s="28">
        <f>IFERROR(__xludf.DUMMYFUNCTION("((B62-('HV (Max.) - A3'!I12*-1))*100)/B62"),16.1907440459316)</f>
        <v>16.19074405</v>
      </c>
      <c r="J62" s="28">
        <f>IFERROR(__xludf.DUMMYFUNCTION("((B62-('HV (Max.) - A3'!J12*-1))*100)/B62"),2.8298423328945375)</f>
        <v>2.829842333</v>
      </c>
      <c r="K62" s="29">
        <f>IFERROR(__xludf.DUMMYFUNCTION("('HV (Max.) - A3'!K12) * -1"),0.8272916153)</f>
        <v>0.8272916153</v>
      </c>
      <c r="L62" s="30">
        <f>IFERROR(__xludf.DUMMYFUNCTION("((K62-('HV (Max.) - A3'!L12*-1))*100)/K62"),75.53458849856663)</f>
        <v>75.5345885</v>
      </c>
      <c r="M62" s="30">
        <f>IFERROR(__xludf.DUMMYFUNCTION("((K62-('HV (Max.) - A3'!M12*-1))*100)/K62"),72.0484476545619)</f>
        <v>72.04844765</v>
      </c>
      <c r="N62" s="30">
        <f>IFERROR(__xludf.DUMMYFUNCTION("((K62-('HV (Max.) - A3'!N12*-1))*100)/K62"),18.780482894614916)</f>
        <v>18.78048289</v>
      </c>
      <c r="O62" s="30">
        <f>IFERROR(__xludf.DUMMYFUNCTION("((K62-('HV (Max.) - A3'!O12*-1))*100)/K62"),-9.410575117670968)</f>
        <v>-9.410575118</v>
      </c>
      <c r="P62" s="30">
        <f>IFERROR(__xludf.DUMMYFUNCTION("((K62-('HV (Max.) - A3'!P12*-1))*100)/K62"),-10.97026583148546)</f>
        <v>-10.97026583</v>
      </c>
      <c r="Q62" s="30">
        <f>IFERROR(__xludf.DUMMYFUNCTION("((K62-('HV (Max.) - A3'!Q12*-1))*100)/K62"),-2.061977141375248)</f>
        <v>-2.061977141</v>
      </c>
      <c r="R62" s="30">
        <f>IFERROR(__xludf.DUMMYFUNCTION("((K62-('HV (Max.) - A3'!R12*-1))*100)/K62"),4.397738261472255)</f>
        <v>4.397738261</v>
      </c>
      <c r="S62" s="30">
        <f>IFERROR(__xludf.DUMMYFUNCTION("((K62-('HV (Max.) - A3'!S12*-1))*100)/K62"),-12.145589855103669)</f>
        <v>-12.14558986</v>
      </c>
    </row>
    <row r="63">
      <c r="A63" s="14" t="s">
        <v>26</v>
      </c>
      <c r="B63" s="27">
        <f>IFERROR(__xludf.DUMMYFUNCTION("('HV (Max.) - A3'!B13) * -1"),0.8839579023)</f>
        <v>0.8839579023</v>
      </c>
      <c r="C63" s="28">
        <f>IFERROR(__xludf.DUMMYFUNCTION("((B63-('HV (Max.) - A3'!C13*-1))*100)/B63"),70.32723941745115)</f>
        <v>70.32723942</v>
      </c>
      <c r="D63" s="28">
        <f>IFERROR(__xludf.DUMMYFUNCTION("((B63-('HV (Max.) - A3'!D13*-1))*100)/B63"),69.74115259289536)</f>
        <v>69.74115259</v>
      </c>
      <c r="E63" s="28">
        <f>IFERROR(__xludf.DUMMYFUNCTION("((B63-('HV (Max.) - A3'!E13*-1))*100)/B63"),27.111702353294298)</f>
        <v>27.11170235</v>
      </c>
      <c r="F63" s="28">
        <f>IFERROR(__xludf.DUMMYFUNCTION("((B63-('HV (Max.) - A3'!F13*-1))*100)/B63"),6.224137536057413)</f>
        <v>6.224137536</v>
      </c>
      <c r="G63" s="28">
        <f>IFERROR(__xludf.DUMMYFUNCTION("((B63-('HV (Max.) - A3'!G13*-1))*100)/B63"),2.411167867218925)</f>
        <v>2.411167867</v>
      </c>
      <c r="H63" s="28">
        <f>IFERROR(__xludf.DUMMYFUNCTION("((B63-('HV (Max.) - A3'!H13*-1))*100)/B63"),6.1259430295383295)</f>
        <v>6.12594303</v>
      </c>
      <c r="I63" s="28">
        <f>IFERROR(__xludf.DUMMYFUNCTION("((B63-('HV (Max.) - A3'!I13*-1))*100)/B63"),13.902119861166607)</f>
        <v>13.90211986</v>
      </c>
      <c r="J63" s="28">
        <f>IFERROR(__xludf.DUMMYFUNCTION("((B63-('HV (Max.) - A3'!J13*-1))*100)/B63"),1.9282857990917333)</f>
        <v>1.928285799</v>
      </c>
      <c r="K63" s="29">
        <f>IFERROR(__xludf.DUMMYFUNCTION("('HV (Max.) - A3'!K13) * -1"),0.8963004878)</f>
        <v>0.8963004878</v>
      </c>
      <c r="L63" s="30">
        <f>IFERROR(__xludf.DUMMYFUNCTION("((K63-('HV (Max.) - A3'!L13*-1))*100)/K63"),73.17097064286568)</f>
        <v>73.17097064</v>
      </c>
      <c r="M63" s="30">
        <f>IFERROR(__xludf.DUMMYFUNCTION("((K63-('HV (Max.) - A3'!M13*-1))*100)/K63"),66.5890338144252)</f>
        <v>66.58903381</v>
      </c>
      <c r="N63" s="30">
        <f>IFERROR(__xludf.DUMMYFUNCTION("((K63-('HV (Max.) - A3'!N13*-1))*100)/K63"),28.472507376002348)</f>
        <v>28.47250738</v>
      </c>
      <c r="O63" s="30">
        <f>IFERROR(__xludf.DUMMYFUNCTION("((K63-('HV (Max.) - A3'!O13*-1))*100)/K63"),5.70502511111096)</f>
        <v>5.705025111</v>
      </c>
      <c r="P63" s="30">
        <f>IFERROR(__xludf.DUMMYFUNCTION("((K63-('HV (Max.) - A3'!P13*-1))*100)/K63"),1.866598426278362)</f>
        <v>1.866598426</v>
      </c>
      <c r="Q63" s="30">
        <f>IFERROR(__xludf.DUMMYFUNCTION("((K63-('HV (Max.) - A3'!Q13*-1))*100)/K63"),7.623001206627263)</f>
        <v>7.623001207</v>
      </c>
      <c r="R63" s="30">
        <f>IFERROR(__xludf.DUMMYFUNCTION("((K63-('HV (Max.) - A3'!R13*-1))*100)/K63"),19.80119029452123)</f>
        <v>19.80119029</v>
      </c>
      <c r="S63" s="30">
        <f>IFERROR(__xludf.DUMMYFUNCTION("((K63-('HV (Max.) - A3'!S13*-1))*100)/K63"),2.3889757387678725)</f>
        <v>2.388975739</v>
      </c>
    </row>
    <row r="64">
      <c r="A64" s="14" t="s">
        <v>27</v>
      </c>
      <c r="B64" s="27">
        <f>IFERROR(__xludf.DUMMYFUNCTION("('HV (Max.) - A3'!B14) * -1"),0.7718105766)</f>
        <v>0.7718105766</v>
      </c>
      <c r="C64" s="28">
        <f>IFERROR(__xludf.DUMMYFUNCTION("((B64-('HV (Max.) - A3'!C14*-1))*100)/B64"),70.72521527298282)</f>
        <v>70.72521527</v>
      </c>
      <c r="D64" s="28">
        <f>IFERROR(__xludf.DUMMYFUNCTION("((B64-('HV (Max.) - A3'!D14*-1))*100)/B64"),69.65570325147576)</f>
        <v>69.65570325</v>
      </c>
      <c r="E64" s="28">
        <f>IFERROR(__xludf.DUMMYFUNCTION("((B64-('HV (Max.) - A3'!E14*-1))*100)/B64"),17.063987174181463)</f>
        <v>17.06398717</v>
      </c>
      <c r="F64" s="28">
        <f>IFERROR(__xludf.DUMMYFUNCTION("((B64-('HV (Max.) - A3'!F14*-1))*100)/B64"),-12.682075080026843)</f>
        <v>-12.68207508</v>
      </c>
      <c r="G64" s="28">
        <f>IFERROR(__xludf.DUMMYFUNCTION("((B64-('HV (Max.) - A3'!G14*-1))*100)/B64"),-15.905850557373666)</f>
        <v>-15.90585056</v>
      </c>
      <c r="H64" s="28">
        <f>IFERROR(__xludf.DUMMYFUNCTION("((B64-('HV (Max.) - A3'!H14*-1))*100)/B64"),-9.433893536514152)</f>
        <v>-9.433893537</v>
      </c>
      <c r="I64" s="28">
        <f>IFERROR(__xludf.DUMMYFUNCTION("((B64-('HV (Max.) - A3'!I14*-1))*100)/B64"),-7.684431542940324)</f>
        <v>-7.684431543</v>
      </c>
      <c r="J64" s="28">
        <f>IFERROR(__xludf.DUMMYFUNCTION("((B64-('HV (Max.) - A3'!J14*-1))*100)/B64"),-17.544358331613978)</f>
        <v>-17.54435833</v>
      </c>
      <c r="K64" s="29">
        <f>IFERROR(__xludf.DUMMYFUNCTION("('HV (Max.) - A3'!K14) * -1"),0.7529242329)</f>
        <v>0.7529242329</v>
      </c>
      <c r="L64" s="30">
        <f>IFERROR(__xludf.DUMMYFUNCTION("((K64-('HV (Max.) - A3'!L14*-1))*100)/K64"),69.2479786965826)</f>
        <v>69.2479787</v>
      </c>
      <c r="M64" s="30">
        <f>IFERROR(__xludf.DUMMYFUNCTION("((K64-('HV (Max.) - A3'!M14*-1))*100)/K64"),68.58437549699433)</f>
        <v>68.5843755</v>
      </c>
      <c r="N64" s="30">
        <f>IFERROR(__xludf.DUMMYFUNCTION("((K64-('HV (Max.) - A3'!N14*-1))*100)/K64"),13.730550629485515)</f>
        <v>13.73055063</v>
      </c>
      <c r="O64" s="30">
        <f>IFERROR(__xludf.DUMMYFUNCTION("((K64-('HV (Max.) - A3'!O14*-1))*100)/K64"),-15.585826537686405)</f>
        <v>-15.58582654</v>
      </c>
      <c r="P64" s="30">
        <f>IFERROR(__xludf.DUMMYFUNCTION("((K64-('HV (Max.) - A3'!P14*-1))*100)/K64"),-21.273010536941115)</f>
        <v>-21.27301054</v>
      </c>
      <c r="Q64" s="30">
        <f>IFERROR(__xludf.DUMMYFUNCTION("((K64-('HV (Max.) - A3'!Q14*-1))*100)/K64"),-14.744672790302483)</f>
        <v>-14.74467279</v>
      </c>
      <c r="R64" s="30">
        <f>IFERROR(__xludf.DUMMYFUNCTION("((K64-('HV (Max.) - A3'!R14*-1))*100)/K64"),-16.287277609284665)</f>
        <v>-16.28727761</v>
      </c>
      <c r="S64" s="30">
        <f>IFERROR(__xludf.DUMMYFUNCTION("((K64-('HV (Max.) - A3'!S14*-1))*100)/K64"),-20.359413404663172)</f>
        <v>-20.3594134</v>
      </c>
    </row>
    <row r="65">
      <c r="A65" s="14" t="s">
        <v>28</v>
      </c>
      <c r="B65" s="27">
        <f>IFERROR(__xludf.DUMMYFUNCTION("('HV (Max.) - A3'!B15) * -1"),0.7451239796)</f>
        <v>0.7451239796</v>
      </c>
      <c r="C65" s="28">
        <f>IFERROR(__xludf.DUMMYFUNCTION("((B65-('HV (Max.) - A3'!C15*-1))*100)/B65"),58.23375063475141)</f>
        <v>58.23375063</v>
      </c>
      <c r="D65" s="28">
        <f>IFERROR(__xludf.DUMMYFUNCTION("((B65-('HV (Max.) - A3'!D15*-1))*100)/B65"),49.1961775001235)</f>
        <v>49.1961775</v>
      </c>
      <c r="E65" s="28">
        <f>IFERROR(__xludf.DUMMYFUNCTION("((B65-('HV (Max.) - A3'!E15*-1))*100)/B65"),3.6470411829435556)</f>
        <v>3.647041183</v>
      </c>
      <c r="F65" s="28">
        <f>IFERROR(__xludf.DUMMYFUNCTION("((B65-('HV (Max.) - A3'!F15*-1))*100)/B65"),-18.047754008962517)</f>
        <v>-18.04775401</v>
      </c>
      <c r="G65" s="28">
        <f>IFERROR(__xludf.DUMMYFUNCTION("((B65-('HV (Max.) - A3'!G15*-1))*100)/B65"),-22.861732069265432)</f>
        <v>-22.86173207</v>
      </c>
      <c r="H65" s="28">
        <f>IFERROR(__xludf.DUMMYFUNCTION("((B65-('HV (Max.) - A3'!H15*-1))*100)/B65"),-21.910519023645183)</f>
        <v>-21.91051902</v>
      </c>
      <c r="I65" s="28">
        <f>IFERROR(__xludf.DUMMYFUNCTION("((B65-('HV (Max.) - A3'!I15*-1))*100)/B65"),-7.3294050782418365)</f>
        <v>-7.329405078</v>
      </c>
      <c r="J65" s="28">
        <f>IFERROR(__xludf.DUMMYFUNCTION("((B65-('HV (Max.) - A3'!J15*-1))*100)/B65"),-23.506375609334917)</f>
        <v>-23.50637561</v>
      </c>
      <c r="K65" s="29">
        <f>IFERROR(__xludf.DUMMYFUNCTION("('HV (Max.) - A3'!K15) * -1"),0.4446460442)</f>
        <v>0.4446460442</v>
      </c>
      <c r="L65" s="30">
        <f>IFERROR(__xludf.DUMMYFUNCTION("((K65-('HV (Max.) - A3'!L15*-1))*100)/K65"),47.70118040330471)</f>
        <v>47.7011804</v>
      </c>
      <c r="M65" s="30">
        <f>IFERROR(__xludf.DUMMYFUNCTION("((K65-('HV (Max.) - A3'!M15*-1))*100)/K65"),45.39263111249331)</f>
        <v>45.39263111</v>
      </c>
      <c r="N65" s="30">
        <f>IFERROR(__xludf.DUMMYFUNCTION("((K65-('HV (Max.) - A3'!N15*-1))*100)/K65"),-53.64040562401119)</f>
        <v>-53.64040562</v>
      </c>
      <c r="O65" s="30">
        <f>IFERROR(__xludf.DUMMYFUNCTION("((K65-('HV (Max.) - A3'!O15*-1))*100)/K65"),-84.25175579241103)</f>
        <v>-84.25175579</v>
      </c>
      <c r="P65" s="30">
        <f>IFERROR(__xludf.DUMMYFUNCTION("((K65-('HV (Max.) - A3'!P15*-1))*100)/K65"),-93.92296833572055)</f>
        <v>-93.92296834</v>
      </c>
      <c r="Q65" s="30">
        <f>IFERROR(__xludf.DUMMYFUNCTION("((K65-('HV (Max.) - A3'!Q15*-1))*100)/K65"),-89.14189980327727)</f>
        <v>-89.1418998</v>
      </c>
      <c r="R65" s="30">
        <f>IFERROR(__xludf.DUMMYFUNCTION("((K65-('HV (Max.) - A3'!R15*-1))*100)/K65"),-65.39447081400573)</f>
        <v>-65.39447081</v>
      </c>
      <c r="S65" s="30">
        <f>IFERROR(__xludf.DUMMYFUNCTION("((K65-('HV (Max.) - A3'!S15*-1))*100)/K65"),-92.424531458364)</f>
        <v>-92.42453146</v>
      </c>
    </row>
    <row r="66">
      <c r="A66" s="14" t="s">
        <v>29</v>
      </c>
      <c r="B66" s="27">
        <f>IFERROR(__xludf.DUMMYFUNCTION("('HV (Max.) - A3'!B16) * -1"),0.6486853221)</f>
        <v>0.6486853221</v>
      </c>
      <c r="C66" s="28">
        <f>IFERROR(__xludf.DUMMYFUNCTION("((B66-('HV (Max.) - A3'!C16*-1))*100)/B66"),56.74152558415041)</f>
        <v>56.74152558</v>
      </c>
      <c r="D66" s="28">
        <f>IFERROR(__xludf.DUMMYFUNCTION("((B66-('HV (Max.) - A3'!D16*-1))*100)/B66"),55.420242088440496)</f>
        <v>55.42024209</v>
      </c>
      <c r="E66" s="28">
        <f>IFERROR(__xludf.DUMMYFUNCTION("((B66-('HV (Max.) - A3'!E16*-1))*100)/B66"),-8.455253931511773)</f>
        <v>-8.455253932</v>
      </c>
      <c r="F66" s="28">
        <f>IFERROR(__xludf.DUMMYFUNCTION("((B66-('HV (Max.) - A3'!F16*-1))*100)/B66"),-36.39299662827997)</f>
        <v>-36.39299663</v>
      </c>
      <c r="G66" s="28">
        <f>IFERROR(__xludf.DUMMYFUNCTION("((B66-('HV (Max.) - A3'!G16*-1))*100)/B66"),-42.26014840485937)</f>
        <v>-42.2601484</v>
      </c>
      <c r="H66" s="28">
        <f>IFERROR(__xludf.DUMMYFUNCTION("((B66-('HV (Max.) - A3'!H16*-1))*100)/B66"),-39.958631908129014)</f>
        <v>-39.95863191</v>
      </c>
      <c r="I66" s="28">
        <f>IFERROR(__xludf.DUMMYFUNCTION("((B66-('HV (Max.) - A3'!I16*-1))*100)/B66"),-15.465775805627711)</f>
        <v>-15.46577581</v>
      </c>
      <c r="J66" s="28">
        <f>IFERROR(__xludf.DUMMYFUNCTION("((B66-('HV (Max.) - A3'!J16*-1))*100)/B66"),-42.52276501447913)</f>
        <v>-42.52276501</v>
      </c>
      <c r="K66" s="29">
        <f>IFERROR(__xludf.DUMMYFUNCTION("('HV (Max.) - A3'!K16) * -1"),0.4253646287)</f>
        <v>0.4253646287</v>
      </c>
      <c r="L66" s="30">
        <f>IFERROR(__xludf.DUMMYFUNCTION("((K66-('HV (Max.) - A3'!L16*-1))*100)/K66"),48.62142276194391)</f>
        <v>48.62142276</v>
      </c>
      <c r="M66" s="30">
        <f>IFERROR(__xludf.DUMMYFUNCTION("((K66-('HV (Max.) - A3'!M16*-1))*100)/K66"),43.35039562728926)</f>
        <v>43.35039563</v>
      </c>
      <c r="N66" s="30">
        <f>IFERROR(__xludf.DUMMYFUNCTION("((K66-('HV (Max.) - A3'!N16*-1))*100)/K66"),-68.87563853049635)</f>
        <v>-68.87563853</v>
      </c>
      <c r="O66" s="30">
        <f>IFERROR(__xludf.DUMMYFUNCTION("((K66-('HV (Max.) - A3'!O16*-1))*100)/K66"),-98.53425534721711)</f>
        <v>-98.53425535</v>
      </c>
      <c r="P66" s="30">
        <f>IFERROR(__xludf.DUMMYFUNCTION("((K66-('HV (Max.) - A3'!P16*-1))*100)/K66"),-105.93515703859933)</f>
        <v>-105.935157</v>
      </c>
      <c r="Q66" s="30">
        <f>IFERROR(__xludf.DUMMYFUNCTION("((K66-('HV (Max.) - A3'!Q16*-1))*100)/K66"),-100.8536537960614)</f>
        <v>-100.8536538</v>
      </c>
      <c r="R66" s="30">
        <f>IFERROR(__xludf.DUMMYFUNCTION("((K66-('HV (Max.) - A3'!R16*-1))*100)/K66"),-79.84570297675998)</f>
        <v>-79.84570298</v>
      </c>
      <c r="S66" s="30">
        <f>IFERROR(__xludf.DUMMYFUNCTION("((K66-('HV (Max.) - A3'!S16*-1))*100)/K66"),-107.93553392137046)</f>
        <v>-107.9355339</v>
      </c>
    </row>
    <row r="67">
      <c r="A67" s="14" t="s">
        <v>30</v>
      </c>
      <c r="B67" s="27">
        <f>IFERROR(__xludf.DUMMYFUNCTION("('HV (Max.) - A3'!B17) * -1"),0.587760716)</f>
        <v>0.587760716</v>
      </c>
      <c r="C67" s="28">
        <f>IFERROR(__xludf.DUMMYFUNCTION("((B67-('HV (Max.) - A3'!C17*-1))*100)/B67"),45.44522308632821)</f>
        <v>45.44522309</v>
      </c>
      <c r="D67" s="28">
        <f>IFERROR(__xludf.DUMMYFUNCTION("((B67-('HV (Max.) - A3'!D17*-1))*100)/B67"),42.997859965857266)</f>
        <v>42.99785997</v>
      </c>
      <c r="E67" s="28">
        <f>IFERROR(__xludf.DUMMYFUNCTION("((B67-('HV (Max.) - A3'!E17*-1))*100)/B67"),-26.75597419477758)</f>
        <v>-26.75597419</v>
      </c>
      <c r="F67" s="28">
        <f>IFERROR(__xludf.DUMMYFUNCTION("((B67-('HV (Max.) - A3'!F17*-1))*100)/B67"),-41.88232927087967)</f>
        <v>-41.88232927</v>
      </c>
      <c r="G67" s="28">
        <f>IFERROR(__xludf.DUMMYFUNCTION("((B67-('HV (Max.) - A3'!G17*-1))*100)/B67"),-50.61691598320429)</f>
        <v>-50.61691598</v>
      </c>
      <c r="H67" s="28">
        <f>IFERROR(__xludf.DUMMYFUNCTION("((B67-('HV (Max.) - A3'!H17*-1))*100)/B67"),-49.502899288696256)</f>
        <v>-49.50289929</v>
      </c>
      <c r="I67" s="28">
        <f>IFERROR(__xludf.DUMMYFUNCTION("((B67-('HV (Max.) - A3'!I17*-1))*100)/B67"),-19.142376453073467)</f>
        <v>-19.14237645</v>
      </c>
      <c r="J67" s="28">
        <f>IFERROR(__xludf.DUMMYFUNCTION("((B67-('HV (Max.) - A3'!J17*-1))*100)/B67"),-48.357285297032334)</f>
        <v>-48.3572853</v>
      </c>
      <c r="K67" s="29">
        <f>IFERROR(__xludf.DUMMYFUNCTION("('HV (Max.) - A3'!K17) * -1"),0.5161115743)</f>
        <v>0.5161115743</v>
      </c>
      <c r="L67" s="30">
        <f>IFERROR(__xludf.DUMMYFUNCTION("((K67-('HV (Max.) - A3'!L17*-1))*100)/K67"),51.052693316821816)</f>
        <v>51.05269332</v>
      </c>
      <c r="M67" s="30">
        <f>IFERROR(__xludf.DUMMYFUNCTION("((K67-('HV (Max.) - A3'!M17*-1))*100)/K67"),46.39518955271761)</f>
        <v>46.39518955</v>
      </c>
      <c r="N67" s="30">
        <f>IFERROR(__xludf.DUMMYFUNCTION("((K67-('HV (Max.) - A3'!N17*-1))*100)/K67"),-33.092796713898466)</f>
        <v>-33.09279671</v>
      </c>
      <c r="O67" s="30">
        <f>IFERROR(__xludf.DUMMYFUNCTION("((K67-('HV (Max.) - A3'!O17*-1))*100)/K67"),-59.88651400023447)</f>
        <v>-59.886514</v>
      </c>
      <c r="P67" s="30">
        <f>IFERROR(__xludf.DUMMYFUNCTION("((K67-('HV (Max.) - A3'!P17*-1))*100)/K67"),-65.18366674033336)</f>
        <v>-65.18366674</v>
      </c>
      <c r="Q67" s="30">
        <f>IFERROR(__xludf.DUMMYFUNCTION("((K67-('HV (Max.) - A3'!Q17*-1))*100)/K67"),-59.99132412791542)</f>
        <v>-59.99132413</v>
      </c>
      <c r="R67" s="30">
        <f>IFERROR(__xludf.DUMMYFUNCTION("((K67-('HV (Max.) - A3'!R17*-1))*100)/K67"),-35.262060756307285)</f>
        <v>-35.26206076</v>
      </c>
      <c r="S67" s="30">
        <f>IFERROR(__xludf.DUMMYFUNCTION("((K67-('HV (Max.) - A3'!S17*-1))*100)/K67"),-65.02269385358366)</f>
        <v>-65.02269385</v>
      </c>
    </row>
    <row r="68">
      <c r="A68" s="14" t="s">
        <v>31</v>
      </c>
      <c r="B68" s="27">
        <f>IFERROR(__xludf.DUMMYFUNCTION("('HV (Max.) - A3'!B18) * -1"),0.4774829465)</f>
        <v>0.4774829465</v>
      </c>
      <c r="C68" s="28">
        <f>IFERROR(__xludf.DUMMYFUNCTION("((B68-('HV (Max.) - A3'!C18*-1))*100)/B68"),44.720094081935976)</f>
        <v>44.72009408</v>
      </c>
      <c r="D68" s="28">
        <f>IFERROR(__xludf.DUMMYFUNCTION("((B68-('HV (Max.) - A3'!D18*-1))*100)/B68"),38.2102014610903)</f>
        <v>38.21020146</v>
      </c>
      <c r="E68" s="28">
        <f>IFERROR(__xludf.DUMMYFUNCTION("((B68-('HV (Max.) - A3'!E18*-1))*100)/B68"),-50.149476134222525)</f>
        <v>-50.14947613</v>
      </c>
      <c r="F68" s="28">
        <f>IFERROR(__xludf.DUMMYFUNCTION("((B68-('HV (Max.) - A3'!F18*-1))*100)/B68"),-79.83189843618844)</f>
        <v>-79.83189844</v>
      </c>
      <c r="G68" s="28">
        <f>IFERROR(__xludf.DUMMYFUNCTION("((B68-('HV (Max.) - A3'!G18*-1))*100)/B68"),-83.37353968724409)</f>
        <v>-83.37353969</v>
      </c>
      <c r="H68" s="28">
        <f>IFERROR(__xludf.DUMMYFUNCTION("((B68-('HV (Max.) - A3'!H18*-1))*100)/B68"),-81.83926447308207)</f>
        <v>-81.83926447</v>
      </c>
      <c r="I68" s="28">
        <f>IFERROR(__xludf.DUMMYFUNCTION("((B68-('HV (Max.) - A3'!I18*-1))*100)/B68"),-71.36443717995697)</f>
        <v>-71.36443718</v>
      </c>
      <c r="J68" s="28">
        <f>IFERROR(__xludf.DUMMYFUNCTION("((B68-('HV (Max.) - A3'!J18*-1))*100)/B68"),-86.63585496241382)</f>
        <v>-86.63585496</v>
      </c>
      <c r="K68" s="29">
        <f>IFERROR(__xludf.DUMMYFUNCTION("('HV (Max.) - A3'!K18) * -1"),0.4830498637)</f>
        <v>0.4830498637</v>
      </c>
      <c r="L68" s="30">
        <f>IFERROR(__xludf.DUMMYFUNCTION("((K68-('HV (Max.) - A3'!L18*-1))*100)/K68"),55.67143210437056)</f>
        <v>55.6714321</v>
      </c>
      <c r="M68" s="30">
        <f>IFERROR(__xludf.DUMMYFUNCTION("((K68-('HV (Max.) - A3'!M18*-1))*100)/K68"),43.9856246873836)</f>
        <v>43.98562469</v>
      </c>
      <c r="N68" s="30">
        <f>IFERROR(__xludf.DUMMYFUNCTION("((K68-('HV (Max.) - A3'!N18*-1))*100)/K68"),-48.31737220920781)</f>
        <v>-48.31737221</v>
      </c>
      <c r="O68" s="30">
        <f>IFERROR(__xludf.DUMMYFUNCTION("((K68-('HV (Max.) - A3'!O18*-1))*100)/K68"),-85.61236089217427)</f>
        <v>-85.61236089</v>
      </c>
      <c r="P68" s="30">
        <f>IFERROR(__xludf.DUMMYFUNCTION("((K68-('HV (Max.) - A3'!P18*-1))*100)/K68"),-94.70954056290317)</f>
        <v>-94.70954056</v>
      </c>
      <c r="Q68" s="30">
        <f>IFERROR(__xludf.DUMMYFUNCTION("((K68-('HV (Max.) - A3'!Q18*-1))*100)/K68"),-88.91773925988585)</f>
        <v>-88.91773926</v>
      </c>
      <c r="R68" s="30">
        <f>IFERROR(__xludf.DUMMYFUNCTION("((K68-('HV (Max.) - A3'!R18*-1))*100)/K68"),-72.5149292905183)</f>
        <v>-72.51492929</v>
      </c>
      <c r="S68" s="30">
        <f>IFERROR(__xludf.DUMMYFUNCTION("((K68-('HV (Max.) - A3'!S18*-1))*100)/K68"),-91.41018826044646)</f>
        <v>-91.41018826</v>
      </c>
    </row>
    <row r="69">
      <c r="A69" s="14" t="s">
        <v>32</v>
      </c>
      <c r="B69" s="27">
        <f>IFERROR(__xludf.DUMMYFUNCTION("('HV (Max.) - A3'!B19) * -1"),0.6500485936)</f>
        <v>0.6500485936</v>
      </c>
      <c r="C69" s="28">
        <f>IFERROR(__xludf.DUMMYFUNCTION("((B69-('HV (Max.) - A3'!C19*-1))*100)/B69"),50.9434077329569)</f>
        <v>50.94340773</v>
      </c>
      <c r="D69" s="28">
        <f>IFERROR(__xludf.DUMMYFUNCTION("((B69-('HV (Max.) - A3'!D19*-1))*100)/B69"),49.21783685865049)</f>
        <v>49.21783686</v>
      </c>
      <c r="E69" s="28">
        <f>IFERROR(__xludf.DUMMYFUNCTION("((B69-('HV (Max.) - A3'!E19*-1))*100)/B69"),-9.903734156775196)</f>
        <v>-9.903734157</v>
      </c>
      <c r="F69" s="28">
        <f>IFERROR(__xludf.DUMMYFUNCTION("((B69-('HV (Max.) - A3'!F19*-1))*100)/B69"),-35.63981655847705)</f>
        <v>-35.63981656</v>
      </c>
      <c r="G69" s="28">
        <f>IFERROR(__xludf.DUMMYFUNCTION("((B69-('HV (Max.) - A3'!G19*-1))*100)/B69"),-46.50643408453027)</f>
        <v>-46.50643408</v>
      </c>
      <c r="H69" s="28">
        <f>IFERROR(__xludf.DUMMYFUNCTION("((B69-('HV (Max.) - A3'!H19*-1))*100)/B69"),-41.48063617931962)</f>
        <v>-41.48063618</v>
      </c>
      <c r="I69" s="28">
        <f>IFERROR(__xludf.DUMMYFUNCTION("((B69-('HV (Max.) - A3'!I19*-1))*100)/B69"),-39.17438711615727)</f>
        <v>-39.17438712</v>
      </c>
      <c r="J69" s="28">
        <f>IFERROR(__xludf.DUMMYFUNCTION("((B69-('HV (Max.) - A3'!J19*-1))*100)/B69"),-43.69698953226071)</f>
        <v>-43.69698953</v>
      </c>
      <c r="K69" s="29">
        <f>IFERROR(__xludf.DUMMYFUNCTION("('HV (Max.) - A3'!K19) * -1"),0.5314954314)</f>
        <v>0.5314954314</v>
      </c>
      <c r="L69" s="30">
        <f>IFERROR(__xludf.DUMMYFUNCTION("((K69-('HV (Max.) - A3'!L19*-1))*100)/K69"),39.15511265107744)</f>
        <v>39.15511265</v>
      </c>
      <c r="M69" s="30">
        <f>IFERROR(__xludf.DUMMYFUNCTION("((K69-('HV (Max.) - A3'!M19*-1))*100)/K69"),32.463890074371015)</f>
        <v>32.46389007</v>
      </c>
      <c r="N69" s="30">
        <f>IFERROR(__xludf.DUMMYFUNCTION("((K69-('HV (Max.) - A3'!N19*-1))*100)/K69"),-32.04330282790836)</f>
        <v>-32.04330283</v>
      </c>
      <c r="O69" s="30">
        <f>IFERROR(__xludf.DUMMYFUNCTION("((K69-('HV (Max.) - A3'!O19*-1))*100)/K69"),-53.98055572072788)</f>
        <v>-53.98055572</v>
      </c>
      <c r="P69" s="30">
        <f>IFERROR(__xludf.DUMMYFUNCTION("((K69-('HV (Max.) - A3'!P19*-1))*100)/K69"),-62.803619293725504)</f>
        <v>-62.80361929</v>
      </c>
      <c r="Q69" s="30">
        <f>IFERROR(__xludf.DUMMYFUNCTION("((K69-('HV (Max.) - A3'!Q19*-1))*100)/K69"),-63.382380844299384)</f>
        <v>-63.38238084</v>
      </c>
      <c r="R69" s="30">
        <f>IFERROR(__xludf.DUMMYFUNCTION("((K69-('HV (Max.) - A3'!R19*-1))*100)/K69"),-33.321292909988316)</f>
        <v>-33.32129291</v>
      </c>
      <c r="S69" s="30">
        <f>IFERROR(__xludf.DUMMYFUNCTION("((K69-('HV (Max.) - A3'!S19*-1))*100)/K69"),-60.0216314107719)</f>
        <v>-60.02163141</v>
      </c>
    </row>
    <row r="70">
      <c r="A70" s="14" t="s">
        <v>33</v>
      </c>
      <c r="B70" s="27">
        <f>IFERROR(__xludf.DUMMYFUNCTION("('HV (Max.) - A3'!B20) * -1"),0.602763904)</f>
        <v>0.602763904</v>
      </c>
      <c r="C70" s="28">
        <f>IFERROR(__xludf.DUMMYFUNCTION("((B70-('HV (Max.) - A3'!C20*-1))*100)/B70"),55.58692990348673)</f>
        <v>55.5869299</v>
      </c>
      <c r="D70" s="28">
        <f>IFERROR(__xludf.DUMMYFUNCTION("((B70-('HV (Max.) - A3'!D20*-1))*100)/B70"),48.336153718985805)</f>
        <v>48.33615372</v>
      </c>
      <c r="E70" s="28">
        <f>IFERROR(__xludf.DUMMYFUNCTION("((B70-('HV (Max.) - A3'!E20*-1))*100)/B70"),-9.693410904711374)</f>
        <v>-9.693410905</v>
      </c>
      <c r="F70" s="28">
        <f>IFERROR(__xludf.DUMMYFUNCTION("((B70-('HV (Max.) - A3'!F20*-1))*100)/B70"),-41.69080693657462)</f>
        <v>-41.69080694</v>
      </c>
      <c r="G70" s="28">
        <f>IFERROR(__xludf.DUMMYFUNCTION("((B70-('HV (Max.) - A3'!G20*-1))*100)/B70"),-50.44920634464535)</f>
        <v>-50.44920634</v>
      </c>
      <c r="H70" s="28">
        <f>IFERROR(__xludf.DUMMYFUNCTION("((B70-('HV (Max.) - A3'!H20*-1))*100)/B70"),-46.19482260835579)</f>
        <v>-46.19482261</v>
      </c>
      <c r="I70" s="28">
        <f>IFERROR(__xludf.DUMMYFUNCTION("((B70-('HV (Max.) - A3'!I20*-1))*100)/B70"),-32.871250979886135)</f>
        <v>-32.87125098</v>
      </c>
      <c r="J70" s="28">
        <f>IFERROR(__xludf.DUMMYFUNCTION("((B70-('HV (Max.) - A3'!J20*-1))*100)/B70"),-47.83856302384025)</f>
        <v>-47.83856302</v>
      </c>
      <c r="K70" s="29">
        <f>IFERROR(__xludf.DUMMYFUNCTION("('HV (Max.) - A3'!K20) * -1"),0.5309970607)</f>
        <v>0.5309970607</v>
      </c>
      <c r="L70" s="30">
        <f>IFERROR(__xludf.DUMMYFUNCTION("((K70-('HV (Max.) - A3'!L20*-1))*100)/K70"),46.729683827796)</f>
        <v>46.72968383</v>
      </c>
      <c r="M70" s="30">
        <f>IFERROR(__xludf.DUMMYFUNCTION("((K70-('HV (Max.) - A3'!M20*-1))*100)/K70"),45.02633575500694)</f>
        <v>45.02633576</v>
      </c>
      <c r="N70" s="30">
        <f>IFERROR(__xludf.DUMMYFUNCTION("((K70-('HV (Max.) - A3'!N20*-1))*100)/K70"),-32.58317215012787)</f>
        <v>-32.58317215</v>
      </c>
      <c r="O70" s="30">
        <f>IFERROR(__xludf.DUMMYFUNCTION("((K70-('HV (Max.) - A3'!O20*-1))*100)/K70"),-70.98538103075418)</f>
        <v>-70.98538103</v>
      </c>
      <c r="P70" s="30">
        <f>IFERROR(__xludf.DUMMYFUNCTION("((K70-('HV (Max.) - A3'!P20*-1))*100)/K70"),-75.92165372225385)</f>
        <v>-75.92165372</v>
      </c>
      <c r="Q70" s="30">
        <f>IFERROR(__xludf.DUMMYFUNCTION("((K70-('HV (Max.) - A3'!Q20*-1))*100)/K70"),-74.29307762644648)</f>
        <v>-74.29307763</v>
      </c>
      <c r="R70" s="30">
        <f>IFERROR(__xludf.DUMMYFUNCTION("((K70-('HV (Max.) - A3'!R20*-1))*100)/K70"),-52.59795177242871)</f>
        <v>-52.59795177</v>
      </c>
      <c r="S70" s="30">
        <f>IFERROR(__xludf.DUMMYFUNCTION("((K70-('HV (Max.) - A3'!S20*-1))*100)/K70"),-77.86537890717179)</f>
        <v>-77.86537891</v>
      </c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</sheetData>
  <mergeCells count="21">
    <mergeCell ref="A2:A4"/>
    <mergeCell ref="C3:J3"/>
    <mergeCell ref="B1:J1"/>
    <mergeCell ref="B2:J2"/>
    <mergeCell ref="K1:S1"/>
    <mergeCell ref="K2:S2"/>
    <mergeCell ref="A26:A28"/>
    <mergeCell ref="C27:J27"/>
    <mergeCell ref="B25:J25"/>
    <mergeCell ref="B26:J26"/>
    <mergeCell ref="K25:S25"/>
    <mergeCell ref="K26:S26"/>
    <mergeCell ref="A50:A52"/>
    <mergeCell ref="C51:J51"/>
    <mergeCell ref="B49:J49"/>
    <mergeCell ref="B50:J50"/>
    <mergeCell ref="K49:S49"/>
    <mergeCell ref="K50:S50"/>
    <mergeCell ref="L3:S3"/>
    <mergeCell ref="L27:S27"/>
    <mergeCell ref="L51:S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Q1" s="3" t="s">
        <v>2</v>
      </c>
      <c r="AF1" s="4"/>
      <c r="AG1" s="5" t="s">
        <v>3</v>
      </c>
      <c r="AH1" s="6"/>
      <c r="AI1" s="7"/>
      <c r="AJ1" s="5" t="s">
        <v>4</v>
      </c>
      <c r="AK1" s="6"/>
      <c r="AL1" s="7"/>
    </row>
    <row r="2">
      <c r="B2" s="8" t="s">
        <v>5</v>
      </c>
      <c r="G2" s="8" t="s">
        <v>6</v>
      </c>
      <c r="L2" s="8" t="s">
        <v>7</v>
      </c>
      <c r="Q2" s="3" t="s">
        <v>5</v>
      </c>
      <c r="V2" s="3" t="s">
        <v>6</v>
      </c>
      <c r="AA2" s="3" t="s">
        <v>7</v>
      </c>
      <c r="AF2" s="4"/>
      <c r="AG2" s="9" t="s">
        <v>8</v>
      </c>
      <c r="AH2" s="9" t="s">
        <v>9</v>
      </c>
      <c r="AI2" s="9" t="s">
        <v>10</v>
      </c>
      <c r="AJ2" s="9" t="s">
        <v>8</v>
      </c>
      <c r="AK2" s="9" t="s">
        <v>9</v>
      </c>
      <c r="AL2" s="9" t="s">
        <v>10</v>
      </c>
    </row>
    <row r="3"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1" t="s">
        <v>11</v>
      </c>
      <c r="R3" s="11" t="s">
        <v>12</v>
      </c>
      <c r="S3" s="11" t="s">
        <v>13</v>
      </c>
      <c r="T3" s="11" t="s">
        <v>14</v>
      </c>
      <c r="U3" s="11" t="s">
        <v>15</v>
      </c>
      <c r="V3" s="11" t="s">
        <v>11</v>
      </c>
      <c r="W3" s="11" t="s">
        <v>12</v>
      </c>
      <c r="X3" s="11" t="s">
        <v>13</v>
      </c>
      <c r="Y3" s="11" t="s">
        <v>14</v>
      </c>
      <c r="Z3" s="11" t="s">
        <v>15</v>
      </c>
      <c r="AA3" s="11" t="s">
        <v>11</v>
      </c>
      <c r="AB3" s="11" t="s">
        <v>12</v>
      </c>
      <c r="AC3" s="11" t="s">
        <v>13</v>
      </c>
      <c r="AD3" s="11" t="s">
        <v>14</v>
      </c>
      <c r="AE3" s="11" t="s">
        <v>15</v>
      </c>
      <c r="AF3" s="12"/>
      <c r="AG3" s="13"/>
      <c r="AH3" s="13"/>
      <c r="AI3" s="13"/>
      <c r="AJ3" s="13"/>
      <c r="AK3" s="13"/>
      <c r="AL3" s="13"/>
    </row>
    <row r="4">
      <c r="A4" s="14" t="s">
        <v>16</v>
      </c>
      <c r="B4" s="15">
        <v>0.0</v>
      </c>
      <c r="C4" s="16">
        <v>0.05237849999999999</v>
      </c>
      <c r="D4" s="16">
        <v>0.0</v>
      </c>
      <c r="E4" s="16">
        <v>0.0</v>
      </c>
      <c r="F4" s="16">
        <v>0.0080135</v>
      </c>
      <c r="G4" s="16">
        <v>0.0</v>
      </c>
      <c r="H4" s="16">
        <v>0.06816</v>
      </c>
      <c r="I4" s="16">
        <v>0.0</v>
      </c>
      <c r="J4" s="16">
        <v>0.0</v>
      </c>
      <c r="K4" s="16">
        <v>0.007215</v>
      </c>
      <c r="L4" s="16">
        <v>0.0</v>
      </c>
      <c r="M4" s="16">
        <v>0.02408552807704245</v>
      </c>
      <c r="N4" s="16">
        <v>0.0</v>
      </c>
      <c r="O4" s="16">
        <v>0.0</v>
      </c>
      <c r="P4" s="16">
        <v>0.00480985995118361</v>
      </c>
      <c r="Q4" s="15">
        <v>0.00119</v>
      </c>
      <c r="R4" s="15">
        <v>0.011697</v>
      </c>
      <c r="S4" s="15">
        <v>0.00119</v>
      </c>
      <c r="T4" s="15">
        <v>0.00119</v>
      </c>
      <c r="U4" s="15">
        <v>0.00119</v>
      </c>
      <c r="V4" s="15">
        <v>0.00119</v>
      </c>
      <c r="W4" s="15">
        <v>0.01225</v>
      </c>
      <c r="X4" s="15">
        <v>0.00119</v>
      </c>
      <c r="Y4" s="15">
        <v>0.00119</v>
      </c>
      <c r="Z4" s="15">
        <v>0.00119</v>
      </c>
      <c r="AA4" s="15">
        <v>0.0</v>
      </c>
      <c r="AB4" s="16">
        <v>0.002410471115777993</v>
      </c>
      <c r="AC4" s="16">
        <v>0.0</v>
      </c>
      <c r="AD4" s="16">
        <v>0.0</v>
      </c>
      <c r="AE4" s="16">
        <v>0.0</v>
      </c>
      <c r="AG4" s="16">
        <v>0.72832</v>
      </c>
      <c r="AH4" s="16">
        <v>0.51624</v>
      </c>
      <c r="AI4" s="16">
        <v>0.02348</v>
      </c>
      <c r="AJ4" s="16">
        <v>0.62493</v>
      </c>
      <c r="AK4" s="16">
        <v>0.62493</v>
      </c>
      <c r="AL4" s="16">
        <v>0.0866</v>
      </c>
    </row>
    <row r="5">
      <c r="A5" s="14" t="s">
        <v>17</v>
      </c>
      <c r="B5" s="15">
        <v>0.007474000000000001</v>
      </c>
      <c r="C5" s="16">
        <v>0.0204485</v>
      </c>
      <c r="D5" s="16">
        <v>0.008082</v>
      </c>
      <c r="E5" s="16">
        <v>0.007170000000000001</v>
      </c>
      <c r="F5" s="16">
        <v>0.016901</v>
      </c>
      <c r="G5" s="16">
        <v>0.00717</v>
      </c>
      <c r="H5" s="16">
        <v>0.021675</v>
      </c>
      <c r="I5" s="16">
        <v>0.00717</v>
      </c>
      <c r="J5" s="16">
        <v>0.00717</v>
      </c>
      <c r="K5" s="16">
        <v>0.01604</v>
      </c>
      <c r="L5" s="16">
        <v>9.119999999999998E-4</v>
      </c>
      <c r="M5" s="16">
        <v>0.006551518354549577</v>
      </c>
      <c r="N5" s="16">
        <v>0.001393103011266575</v>
      </c>
      <c r="O5" s="16">
        <v>8.673617379884035E-19</v>
      </c>
      <c r="P5" s="16">
        <v>0.005290703072371384</v>
      </c>
      <c r="Q5" s="15">
        <v>0.0039195</v>
      </c>
      <c r="R5" s="15">
        <v>0.031995</v>
      </c>
      <c r="S5" s="15">
        <v>0.007839</v>
      </c>
      <c r="T5" s="15">
        <v>0.0</v>
      </c>
      <c r="U5" s="15">
        <v>0.0115825</v>
      </c>
      <c r="V5" s="15">
        <v>0.0</v>
      </c>
      <c r="W5" s="15">
        <v>0.03083</v>
      </c>
      <c r="X5" s="15">
        <v>0.00871</v>
      </c>
      <c r="Y5" s="15">
        <v>0.0</v>
      </c>
      <c r="Z5" s="15">
        <v>0.00871</v>
      </c>
      <c r="AA5" s="15">
        <v>0.00433317028859933</v>
      </c>
      <c r="AB5" s="16">
        <v>0.01221912660544934</v>
      </c>
      <c r="AC5" s="16">
        <v>0.002613</v>
      </c>
      <c r="AD5" s="16">
        <v>0.0</v>
      </c>
      <c r="AE5" s="16">
        <v>0.008745686293825088</v>
      </c>
      <c r="AG5" s="16">
        <v>0.80814</v>
      </c>
      <c r="AH5" s="16">
        <v>0.80814</v>
      </c>
      <c r="AI5" s="16">
        <v>0.09214</v>
      </c>
      <c r="AJ5" s="16">
        <v>0.79153</v>
      </c>
      <c r="AK5" s="16">
        <v>0.66976</v>
      </c>
      <c r="AL5" s="16">
        <v>0.05978</v>
      </c>
    </row>
    <row r="6">
      <c r="A6" s="14" t="s">
        <v>18</v>
      </c>
      <c r="B6" s="15">
        <v>0.00476</v>
      </c>
      <c r="C6" s="16">
        <v>0.0206</v>
      </c>
      <c r="D6" s="16">
        <v>0.00476</v>
      </c>
      <c r="E6" s="16">
        <v>0.00476</v>
      </c>
      <c r="F6" s="16">
        <v>0.014126</v>
      </c>
      <c r="G6" s="16">
        <v>0.00476</v>
      </c>
      <c r="H6" s="16">
        <v>0.02309</v>
      </c>
      <c r="I6" s="16">
        <v>0.00476</v>
      </c>
      <c r="J6" s="16">
        <v>0.00476</v>
      </c>
      <c r="K6" s="16">
        <v>0.01039</v>
      </c>
      <c r="L6" s="16">
        <v>0.0</v>
      </c>
      <c r="M6" s="16">
        <v>0.005631632090255896</v>
      </c>
      <c r="N6" s="16">
        <v>0.0</v>
      </c>
      <c r="O6" s="16">
        <v>0.0</v>
      </c>
      <c r="P6" s="16">
        <v>0.01123584282552938</v>
      </c>
      <c r="Q6" s="15">
        <v>0.0</v>
      </c>
      <c r="R6" s="15">
        <v>0.03251850000000001</v>
      </c>
      <c r="S6" s="15">
        <v>0.0</v>
      </c>
      <c r="T6" s="15">
        <v>0.0</v>
      </c>
      <c r="U6" s="15">
        <v>0.0017415</v>
      </c>
      <c r="V6" s="15">
        <v>0.0</v>
      </c>
      <c r="W6" s="15">
        <v>0.03891</v>
      </c>
      <c r="X6" s="15">
        <v>0.0</v>
      </c>
      <c r="Y6" s="15">
        <v>0.0</v>
      </c>
      <c r="Z6" s="15">
        <v>0.0</v>
      </c>
      <c r="AA6" s="15">
        <v>0.0</v>
      </c>
      <c r="AB6" s="16">
        <v>0.01066491550599441</v>
      </c>
      <c r="AC6" s="16">
        <v>0.0</v>
      </c>
      <c r="AD6" s="16">
        <v>0.0</v>
      </c>
      <c r="AE6" s="16">
        <v>0.004145599202769125</v>
      </c>
      <c r="AG6" s="16">
        <v>0.77592</v>
      </c>
      <c r="AH6" s="16">
        <v>0.84802</v>
      </c>
      <c r="AI6" s="16">
        <v>0.11468</v>
      </c>
      <c r="AJ6" s="16">
        <v>0.74833</v>
      </c>
      <c r="AK6" s="16">
        <v>0.54976</v>
      </c>
      <c r="AL6" s="16">
        <v>0.10834</v>
      </c>
    </row>
    <row r="7">
      <c r="A7" s="14" t="s">
        <v>19</v>
      </c>
      <c r="B7" s="15">
        <v>0.0</v>
      </c>
      <c r="C7" s="16">
        <v>0.0192515</v>
      </c>
      <c r="D7" s="16">
        <v>0.0</v>
      </c>
      <c r="E7" s="16">
        <v>0.0</v>
      </c>
      <c r="F7" s="16">
        <v>0.0</v>
      </c>
      <c r="G7" s="16">
        <v>0.0</v>
      </c>
      <c r="H7" s="16">
        <v>0.01369</v>
      </c>
      <c r="I7" s="16">
        <v>0.0</v>
      </c>
      <c r="J7" s="16">
        <v>0.0</v>
      </c>
      <c r="K7" s="16">
        <v>0.0</v>
      </c>
      <c r="L7" s="16">
        <v>0.0</v>
      </c>
      <c r="M7" s="16">
        <v>0.01418346617544527</v>
      </c>
      <c r="N7" s="16">
        <v>0.0</v>
      </c>
      <c r="O7" s="16">
        <v>0.0</v>
      </c>
      <c r="P7" s="16">
        <v>0.0</v>
      </c>
      <c r="Q7" s="15">
        <v>0.003332</v>
      </c>
      <c r="R7" s="15">
        <v>0.017178</v>
      </c>
      <c r="S7" s="15">
        <v>0.003332</v>
      </c>
      <c r="T7" s="15">
        <v>0.0</v>
      </c>
      <c r="U7" s="15">
        <v>0.020764</v>
      </c>
      <c r="V7" s="15">
        <v>0.0</v>
      </c>
      <c r="W7" s="15">
        <v>0.02258</v>
      </c>
      <c r="X7" s="15">
        <v>0.0</v>
      </c>
      <c r="Y7" s="15">
        <v>0.0</v>
      </c>
      <c r="Z7" s="15">
        <v>0.02536</v>
      </c>
      <c r="AA7" s="15">
        <v>0.004540750598744662</v>
      </c>
      <c r="AB7" s="16">
        <v>0.00819043808352154</v>
      </c>
      <c r="AC7" s="16">
        <v>0.004540750598744662</v>
      </c>
      <c r="AD7" s="16">
        <v>0.0</v>
      </c>
      <c r="AE7" s="16">
        <v>0.006530885391736714</v>
      </c>
      <c r="AG7" s="16">
        <v>0.75883</v>
      </c>
      <c r="AH7" s="16">
        <v>0.75883</v>
      </c>
      <c r="AI7" s="16">
        <v>0.06486</v>
      </c>
      <c r="AJ7" s="16">
        <v>0.81346</v>
      </c>
      <c r="AK7" s="16">
        <v>0.81346</v>
      </c>
      <c r="AL7" s="16">
        <v>0.02286</v>
      </c>
    </row>
    <row r="8">
      <c r="A8" s="14" t="s">
        <v>20</v>
      </c>
      <c r="B8" s="15">
        <v>0.00155</v>
      </c>
      <c r="C8" s="16">
        <v>0.035913</v>
      </c>
      <c r="D8" s="16">
        <v>0.00155</v>
      </c>
      <c r="E8" s="16">
        <v>0.00155</v>
      </c>
      <c r="F8" s="16">
        <v>0.0139975</v>
      </c>
      <c r="G8" s="16">
        <v>0.00155</v>
      </c>
      <c r="H8" s="16">
        <v>0.03915</v>
      </c>
      <c r="I8" s="16">
        <v>0.00155</v>
      </c>
      <c r="J8" s="16">
        <v>0.00155</v>
      </c>
      <c r="K8" s="16">
        <v>0.01085</v>
      </c>
      <c r="L8" s="16">
        <v>2.168404344971009E-19</v>
      </c>
      <c r="M8" s="16">
        <v>0.01682134866769011</v>
      </c>
      <c r="N8" s="16">
        <v>2.168404344971009E-19</v>
      </c>
      <c r="O8" s="16">
        <v>2.168404344971009E-19</v>
      </c>
      <c r="P8" s="16">
        <v>0.01300236589048316</v>
      </c>
      <c r="Q8" s="15">
        <v>0.004540000000000001</v>
      </c>
      <c r="R8" s="15">
        <v>0.025718</v>
      </c>
      <c r="S8" s="15">
        <v>0.004540000000000001</v>
      </c>
      <c r="T8" s="15">
        <v>0.004540000000000001</v>
      </c>
      <c r="U8" s="15">
        <v>0.005582999999999999</v>
      </c>
      <c r="V8" s="15">
        <v>0.00454</v>
      </c>
      <c r="W8" s="15">
        <v>0.02694</v>
      </c>
      <c r="X8" s="15">
        <v>0.00454</v>
      </c>
      <c r="Y8" s="15">
        <v>0.00454</v>
      </c>
      <c r="Z8" s="15">
        <v>0.00603</v>
      </c>
      <c r="AA8" s="15">
        <v>8.673617379884035E-19</v>
      </c>
      <c r="AB8" s="16">
        <v>0.01203336428435539</v>
      </c>
      <c r="AC8" s="16">
        <v>8.673617379884035E-19</v>
      </c>
      <c r="AD8" s="16">
        <v>8.673617379884035E-19</v>
      </c>
      <c r="AE8" s="16">
        <v>6.828037785484201E-4</v>
      </c>
      <c r="AG8" s="16">
        <v>0.98175</v>
      </c>
      <c r="AH8" s="16">
        <v>0.98175</v>
      </c>
      <c r="AI8" s="16">
        <v>0.07827</v>
      </c>
      <c r="AJ8" s="16">
        <v>0.74686</v>
      </c>
      <c r="AK8" s="16">
        <v>0.50013</v>
      </c>
      <c r="AL8" s="16">
        <v>0.10996</v>
      </c>
    </row>
    <row r="9">
      <c r="A9" s="14" t="s">
        <v>21</v>
      </c>
      <c r="B9" s="15">
        <v>0.00136</v>
      </c>
      <c r="C9" s="16">
        <v>0.020055</v>
      </c>
      <c r="D9" s="16">
        <v>0.0097795</v>
      </c>
      <c r="E9" s="16">
        <v>0.00136</v>
      </c>
      <c r="F9" s="16">
        <v>0.0273395</v>
      </c>
      <c r="G9" s="16">
        <v>0.00136</v>
      </c>
      <c r="H9" s="16">
        <v>0.02191</v>
      </c>
      <c r="I9" s="16">
        <v>0.00623</v>
      </c>
      <c r="J9" s="16">
        <v>0.00136</v>
      </c>
      <c r="K9" s="16">
        <v>0.0304</v>
      </c>
      <c r="L9" s="16">
        <v>0.0</v>
      </c>
      <c r="M9" s="16">
        <v>0.002885512952665435</v>
      </c>
      <c r="N9" s="16">
        <v>0.004640902363765046</v>
      </c>
      <c r="O9" s="16">
        <v>0.0</v>
      </c>
      <c r="P9" s="16">
        <v>0.0116523115625184</v>
      </c>
      <c r="Q9" s="15">
        <v>0.003020000000000001</v>
      </c>
      <c r="R9" s="15">
        <v>0.02751049999999999</v>
      </c>
      <c r="S9" s="15">
        <v>0.003020000000000001</v>
      </c>
      <c r="T9" s="15">
        <v>0.003020000000000001</v>
      </c>
      <c r="U9" s="15">
        <v>0.004227999999999999</v>
      </c>
      <c r="V9" s="15">
        <v>0.00302</v>
      </c>
      <c r="W9" s="15">
        <v>0.02915</v>
      </c>
      <c r="X9" s="15">
        <v>0.00302</v>
      </c>
      <c r="Y9" s="15">
        <v>0.00302</v>
      </c>
      <c r="Z9" s="15">
        <v>0.00302</v>
      </c>
      <c r="AA9" s="15">
        <v>4.336808689942018E-19</v>
      </c>
      <c r="AB9" s="16">
        <v>0.01251147851974338</v>
      </c>
      <c r="AC9" s="16">
        <v>4.336808689942018E-19</v>
      </c>
      <c r="AD9" s="16">
        <v>4.336808689942018E-19</v>
      </c>
      <c r="AE9" s="16">
        <v>0.003624</v>
      </c>
      <c r="AG9" s="16">
        <v>0.84654</v>
      </c>
      <c r="AH9" s="16">
        <v>0.73534</v>
      </c>
      <c r="AI9" s="16">
        <v>0.06554</v>
      </c>
      <c r="AJ9" s="16">
        <v>0.60962</v>
      </c>
      <c r="AK9" s="16">
        <v>0.60962</v>
      </c>
      <c r="AL9" s="16">
        <v>0.12075</v>
      </c>
    </row>
    <row r="10">
      <c r="A10" s="14" t="s">
        <v>22</v>
      </c>
      <c r="B10" s="15">
        <v>0.045228</v>
      </c>
      <c r="C10" s="16">
        <v>0.03367200000000001</v>
      </c>
      <c r="D10" s="16">
        <v>0.0252045</v>
      </c>
      <c r="E10" s="16">
        <v>0.025033</v>
      </c>
      <c r="F10" s="16">
        <v>0.0775205</v>
      </c>
      <c r="G10" s="16">
        <v>0.04493</v>
      </c>
      <c r="H10" s="16">
        <v>0.0335</v>
      </c>
      <c r="I10" s="16">
        <v>0.024935</v>
      </c>
      <c r="J10" s="16">
        <v>0.02488</v>
      </c>
      <c r="K10" s="16">
        <v>0.07594999999999999</v>
      </c>
      <c r="L10" s="16">
        <v>0.001516883647482562</v>
      </c>
      <c r="M10" s="16">
        <v>0.002968050875574742</v>
      </c>
      <c r="N10" s="16">
        <v>0.003464007036655671</v>
      </c>
      <c r="O10" s="16">
        <v>0.00219190579177117</v>
      </c>
      <c r="P10" s="16">
        <v>0.01418365590212904</v>
      </c>
      <c r="Q10" s="15">
        <v>0.031628</v>
      </c>
      <c r="R10" s="15">
        <v>0.0447825</v>
      </c>
      <c r="S10" s="15">
        <v>0.0298935</v>
      </c>
      <c r="T10" s="15">
        <v>0.030839</v>
      </c>
      <c r="U10" s="15">
        <v>0.07011599999999998</v>
      </c>
      <c r="V10" s="15">
        <v>0.030135</v>
      </c>
      <c r="W10" s="15">
        <v>0.04387</v>
      </c>
      <c r="X10" s="15">
        <v>0.031595</v>
      </c>
      <c r="Y10" s="15">
        <v>0.030735</v>
      </c>
      <c r="Z10" s="15">
        <v>0.06257</v>
      </c>
      <c r="AA10" s="15">
        <v>0.004314359280356703</v>
      </c>
      <c r="AB10" s="16">
        <v>0.003601559210952946</v>
      </c>
      <c r="AC10" s="16">
        <v>0.006014243323145481</v>
      </c>
      <c r="AD10" s="16">
        <v>0.003379520528122296</v>
      </c>
      <c r="AE10" s="16">
        <v>0.02453472587986261</v>
      </c>
      <c r="AG10" s="16">
        <v>0.52167</v>
      </c>
      <c r="AH10" s="16">
        <v>0.52167</v>
      </c>
      <c r="AI10" s="16">
        <v>0.07783</v>
      </c>
      <c r="AJ10" s="16">
        <v>0.70334</v>
      </c>
      <c r="AK10" s="16">
        <v>0.61327</v>
      </c>
      <c r="AL10" s="16">
        <v>0.0648</v>
      </c>
    </row>
    <row r="11">
      <c r="A11" s="14" t="s">
        <v>23</v>
      </c>
      <c r="B11" s="15">
        <v>0.07337399999999998</v>
      </c>
      <c r="C11" s="16">
        <v>0.05042650000000001</v>
      </c>
      <c r="D11" s="16">
        <v>0.027625</v>
      </c>
      <c r="E11" s="16">
        <v>0.035668</v>
      </c>
      <c r="F11" s="16">
        <v>0.073906</v>
      </c>
      <c r="G11" s="16">
        <v>0.07381</v>
      </c>
      <c r="H11" s="16">
        <v>0.051235</v>
      </c>
      <c r="I11" s="16">
        <v>0.02727</v>
      </c>
      <c r="J11" s="16">
        <v>0.035705</v>
      </c>
      <c r="K11" s="16">
        <v>0.07001</v>
      </c>
      <c r="L11" s="16">
        <v>7.9363341663516E-4</v>
      </c>
      <c r="M11" s="16">
        <v>0.0038906892384255</v>
      </c>
      <c r="N11" s="16">
        <v>0.004518311078268074</v>
      </c>
      <c r="O11" s="16">
        <v>0.003871490152383188</v>
      </c>
      <c r="P11" s="16">
        <v>0.01804078501617931</v>
      </c>
      <c r="Q11" s="15">
        <v>0.05956350000000001</v>
      </c>
      <c r="R11" s="15">
        <v>0.0365015</v>
      </c>
      <c r="S11" s="15">
        <v>0.023562</v>
      </c>
      <c r="T11" s="15">
        <v>0.024953</v>
      </c>
      <c r="U11" s="15">
        <v>0.06603450000000001</v>
      </c>
      <c r="V11" s="15">
        <v>0.059345</v>
      </c>
      <c r="W11" s="15">
        <v>0.035645</v>
      </c>
      <c r="X11" s="15">
        <v>0.024615</v>
      </c>
      <c r="Y11" s="15">
        <v>0.025225</v>
      </c>
      <c r="Z11" s="15">
        <v>0.063715</v>
      </c>
      <c r="AA11" s="15">
        <v>0.001097635071414904</v>
      </c>
      <c r="AB11" s="16">
        <v>0.003240018942845859</v>
      </c>
      <c r="AC11" s="16">
        <v>0.002955668452313283</v>
      </c>
      <c r="AD11" s="16">
        <v>0.002047349750286941</v>
      </c>
      <c r="AE11" s="16">
        <v>0.01826705435339808</v>
      </c>
      <c r="AG11" s="16">
        <v>0.64091</v>
      </c>
      <c r="AH11" s="16">
        <v>0.64091</v>
      </c>
      <c r="AI11" s="16">
        <v>0.09144</v>
      </c>
      <c r="AJ11" s="16">
        <v>0.73849</v>
      </c>
      <c r="AK11" s="16">
        <v>0.67975</v>
      </c>
      <c r="AL11" s="16">
        <v>0.11513</v>
      </c>
    </row>
    <row r="12">
      <c r="A12" s="14" t="s">
        <v>24</v>
      </c>
      <c r="B12" s="15">
        <v>0.0433605</v>
      </c>
      <c r="C12" s="16">
        <v>0.046376</v>
      </c>
      <c r="D12" s="16">
        <v>0.0267255</v>
      </c>
      <c r="E12" s="16">
        <v>0.030293</v>
      </c>
      <c r="F12" s="16">
        <v>0.08150700000000001</v>
      </c>
      <c r="G12" s="16">
        <v>0.04301</v>
      </c>
      <c r="H12" s="16">
        <v>0.047065</v>
      </c>
      <c r="I12" s="16">
        <v>0.02584</v>
      </c>
      <c r="J12" s="16">
        <v>0.029655</v>
      </c>
      <c r="K12" s="16">
        <v>0.076115</v>
      </c>
      <c r="L12" s="16">
        <v>0.001603959086136552</v>
      </c>
      <c r="M12" s="16">
        <v>0.00356569824859031</v>
      </c>
      <c r="N12" s="16">
        <v>0.005411364407429979</v>
      </c>
      <c r="O12" s="16">
        <v>0.004033678346125284</v>
      </c>
      <c r="P12" s="16">
        <v>0.02467367708713073</v>
      </c>
      <c r="Q12" s="15">
        <v>0.05457200000000001</v>
      </c>
      <c r="R12" s="15">
        <v>0.048857</v>
      </c>
      <c r="S12" s="15">
        <v>0.033801</v>
      </c>
      <c r="T12" s="15">
        <v>0.0323645</v>
      </c>
      <c r="U12" s="15">
        <v>0.08464100000000001</v>
      </c>
      <c r="V12" s="15">
        <v>0.053865</v>
      </c>
      <c r="W12" s="15">
        <v>0.04907</v>
      </c>
      <c r="X12" s="15">
        <v>0.03493</v>
      </c>
      <c r="Y12" s="15">
        <v>0.032955</v>
      </c>
      <c r="Z12" s="15">
        <v>0.07076</v>
      </c>
      <c r="AA12" s="15">
        <v>0.002084491784584435</v>
      </c>
      <c r="AB12" s="16">
        <v>0.003816427780005801</v>
      </c>
      <c r="AC12" s="16">
        <v>0.00683769325138237</v>
      </c>
      <c r="AD12" s="16">
        <v>0.004942122494434958</v>
      </c>
      <c r="AE12" s="16">
        <v>0.02424551997792582</v>
      </c>
      <c r="AG12" s="16">
        <v>0.80826</v>
      </c>
      <c r="AH12" s="16">
        <v>0.80826</v>
      </c>
      <c r="AI12" s="16">
        <v>0.10748</v>
      </c>
      <c r="AJ12" s="16">
        <v>0.60323</v>
      </c>
      <c r="AK12" s="16">
        <v>0.60323</v>
      </c>
      <c r="AL12" s="16">
        <v>0.08326</v>
      </c>
    </row>
    <row r="13">
      <c r="A13" s="14" t="s">
        <v>25</v>
      </c>
      <c r="B13" s="15">
        <v>0.01087</v>
      </c>
      <c r="C13" s="16">
        <v>0.0477105</v>
      </c>
      <c r="D13" s="16">
        <v>0.020408</v>
      </c>
      <c r="E13" s="16">
        <v>0.03101099999999999</v>
      </c>
      <c r="F13" s="16">
        <v>0.07569250000000002</v>
      </c>
      <c r="G13" s="16">
        <v>0.01087</v>
      </c>
      <c r="H13" s="16">
        <v>0.04755</v>
      </c>
      <c r="I13" s="16">
        <v>0.01902</v>
      </c>
      <c r="J13" s="16">
        <v>0.03132</v>
      </c>
      <c r="K13" s="16">
        <v>0.0677</v>
      </c>
      <c r="L13" s="16">
        <v>1.734723475976807E-18</v>
      </c>
      <c r="M13" s="16">
        <v>0.005341053711581638</v>
      </c>
      <c r="N13" s="16">
        <v>0.005332277749705091</v>
      </c>
      <c r="O13" s="16">
        <v>0.00402316529613189</v>
      </c>
      <c r="P13" s="16">
        <v>0.02121194990447601</v>
      </c>
      <c r="Q13" s="15">
        <v>0.0141315</v>
      </c>
      <c r="R13" s="15">
        <v>0.05301499999999999</v>
      </c>
      <c r="S13" s="15">
        <v>0.03118149999999999</v>
      </c>
      <c r="T13" s="15">
        <v>0.0304925</v>
      </c>
      <c r="U13" s="15">
        <v>0.0701395</v>
      </c>
      <c r="V13" s="15">
        <v>0.013925</v>
      </c>
      <c r="W13" s="15">
        <v>0.053685</v>
      </c>
      <c r="X13" s="15">
        <v>0.03160499999999999</v>
      </c>
      <c r="Y13" s="15">
        <v>0.030005</v>
      </c>
      <c r="Z13" s="15">
        <v>0.0698</v>
      </c>
      <c r="AA13" s="15">
        <v>0.00221535837958557</v>
      </c>
      <c r="AB13" s="16">
        <v>0.003194181428785785</v>
      </c>
      <c r="AC13" s="16">
        <v>0.00648887761866411</v>
      </c>
      <c r="AD13" s="16">
        <v>0.003754502463709407</v>
      </c>
      <c r="AE13" s="16">
        <v>0.01621524760063811</v>
      </c>
      <c r="AG13" s="16">
        <v>0.58618</v>
      </c>
      <c r="AH13" s="16">
        <v>0.44985</v>
      </c>
      <c r="AI13" s="16">
        <v>0.08593</v>
      </c>
      <c r="AJ13" s="16">
        <v>0.65661</v>
      </c>
      <c r="AK13" s="16">
        <v>0.48602</v>
      </c>
      <c r="AL13" s="16">
        <v>0.04127</v>
      </c>
    </row>
    <row r="14">
      <c r="A14" s="14" t="s">
        <v>26</v>
      </c>
      <c r="B14" s="15">
        <v>0.04033749999999999</v>
      </c>
      <c r="C14" s="16">
        <v>0.025462</v>
      </c>
      <c r="D14" s="16">
        <v>0.014277</v>
      </c>
      <c r="E14" s="16">
        <v>0.0154745</v>
      </c>
      <c r="F14" s="16">
        <v>0.059876</v>
      </c>
      <c r="G14" s="16">
        <v>0.03973</v>
      </c>
      <c r="H14" s="16">
        <v>0.025555</v>
      </c>
      <c r="I14" s="16">
        <v>0.01398</v>
      </c>
      <c r="J14" s="16">
        <v>0.014915</v>
      </c>
      <c r="K14" s="16">
        <v>0.061265</v>
      </c>
      <c r="L14" s="16">
        <v>0.001309060254533764</v>
      </c>
      <c r="M14" s="16">
        <v>0.002927832987040073</v>
      </c>
      <c r="N14" s="16">
        <v>0.002550208030730042</v>
      </c>
      <c r="O14" s="16">
        <v>0.002564916129233079</v>
      </c>
      <c r="P14" s="16">
        <v>0.01785235009739614</v>
      </c>
      <c r="Q14" s="15">
        <v>0.06842699999999999</v>
      </c>
      <c r="R14" s="15">
        <v>0.0284515</v>
      </c>
      <c r="S14" s="15">
        <v>0.019115</v>
      </c>
      <c r="T14" s="15">
        <v>0.0188375</v>
      </c>
      <c r="U14" s="15">
        <v>0.06931949999999999</v>
      </c>
      <c r="V14" s="15">
        <v>0.068055</v>
      </c>
      <c r="W14" s="15">
        <v>0.02797</v>
      </c>
      <c r="X14" s="15">
        <v>0.019305</v>
      </c>
      <c r="Y14" s="15">
        <v>0.019</v>
      </c>
      <c r="Z14" s="15">
        <v>0.06917999999999999</v>
      </c>
      <c r="AA14" s="15">
        <v>0.001355551917117156</v>
      </c>
      <c r="AB14" s="16">
        <v>0.003162031427737555</v>
      </c>
      <c r="AC14" s="16">
        <v>0.003296221321452793</v>
      </c>
      <c r="AD14" s="16">
        <v>0.002162766457572338</v>
      </c>
      <c r="AE14" s="16">
        <v>0.01603586495172618</v>
      </c>
      <c r="AG14" s="16">
        <v>0.87582</v>
      </c>
      <c r="AH14" s="16">
        <v>0.67734</v>
      </c>
      <c r="AI14" s="16">
        <v>0.10573</v>
      </c>
      <c r="AJ14" s="16">
        <v>0.75017</v>
      </c>
      <c r="AK14" s="16">
        <v>0.65586</v>
      </c>
      <c r="AL14" s="16">
        <v>0.09061</v>
      </c>
    </row>
    <row r="15">
      <c r="A15" s="14" t="s">
        <v>27</v>
      </c>
      <c r="B15" s="15">
        <v>0.0511815</v>
      </c>
      <c r="C15" s="16">
        <v>0.0312445</v>
      </c>
      <c r="D15" s="16">
        <v>0.016963</v>
      </c>
      <c r="E15" s="16">
        <v>0.0191435</v>
      </c>
      <c r="F15" s="16">
        <v>0.062813</v>
      </c>
      <c r="G15" s="16">
        <v>0.05007499999999999</v>
      </c>
      <c r="H15" s="16">
        <v>0.030715</v>
      </c>
      <c r="I15" s="16">
        <v>0.019145</v>
      </c>
      <c r="J15" s="16">
        <v>0.017825</v>
      </c>
      <c r="K15" s="16">
        <v>0.05959</v>
      </c>
      <c r="L15" s="16">
        <v>0.003356595410531333</v>
      </c>
      <c r="M15" s="16">
        <v>0.004816460811633371</v>
      </c>
      <c r="N15" s="16">
        <v>0.006777034085792988</v>
      </c>
      <c r="O15" s="16">
        <v>0.00423891056168917</v>
      </c>
      <c r="P15" s="16">
        <v>0.02136769222447759</v>
      </c>
      <c r="Q15" s="15">
        <v>0.09500800000000001</v>
      </c>
      <c r="R15" s="15">
        <v>0.0549075</v>
      </c>
      <c r="S15" s="15">
        <v>0.03423850000000001</v>
      </c>
      <c r="T15" s="15">
        <v>0.04045700000000001</v>
      </c>
      <c r="U15" s="15">
        <v>0.09122649999999999</v>
      </c>
      <c r="V15" s="15">
        <v>0.09355</v>
      </c>
      <c r="W15" s="15">
        <v>0.05518</v>
      </c>
      <c r="X15" s="15">
        <v>0.034305</v>
      </c>
      <c r="Y15" s="15">
        <v>0.03943</v>
      </c>
      <c r="Z15" s="15">
        <v>0.07741</v>
      </c>
      <c r="AA15" s="15">
        <v>0.002658566531046385</v>
      </c>
      <c r="AB15" s="16">
        <v>0.004413492806157047</v>
      </c>
      <c r="AC15" s="16">
        <v>0.00726144770345418</v>
      </c>
      <c r="AD15" s="16">
        <v>0.00461785242293428</v>
      </c>
      <c r="AE15" s="16">
        <v>0.0330236034186156</v>
      </c>
      <c r="AG15" s="16">
        <v>0.82087</v>
      </c>
      <c r="AH15" s="16">
        <v>0.82087</v>
      </c>
      <c r="AI15" s="16">
        <v>0.1864</v>
      </c>
      <c r="AJ15" s="16">
        <v>0.7648</v>
      </c>
      <c r="AK15" s="16">
        <v>0.66104</v>
      </c>
      <c r="AL15" s="16">
        <v>0.08157</v>
      </c>
    </row>
    <row r="16">
      <c r="A16" s="14" t="s">
        <v>28</v>
      </c>
      <c r="B16" s="15">
        <v>0.0307345</v>
      </c>
      <c r="C16" s="16">
        <v>0.084148</v>
      </c>
      <c r="D16" s="16">
        <v>0.0474265</v>
      </c>
      <c r="E16" s="16">
        <v>0.060895</v>
      </c>
      <c r="F16" s="16">
        <v>0.0840935</v>
      </c>
      <c r="G16" s="16">
        <v>0.03006</v>
      </c>
      <c r="H16" s="16">
        <v>0.08415</v>
      </c>
      <c r="I16" s="16">
        <v>0.045245</v>
      </c>
      <c r="J16" s="16">
        <v>0.062285</v>
      </c>
      <c r="K16" s="16">
        <v>0.075725</v>
      </c>
      <c r="L16" s="16">
        <v>0.004760015204807648</v>
      </c>
      <c r="M16" s="16">
        <v>0.007320943655021532</v>
      </c>
      <c r="N16" s="16">
        <v>0.00793738072351327</v>
      </c>
      <c r="O16" s="16">
        <v>0.005807899362075759</v>
      </c>
      <c r="P16" s="16">
        <v>0.03882477189565961</v>
      </c>
      <c r="Q16" s="15">
        <v>0.0540165</v>
      </c>
      <c r="R16" s="15">
        <v>0.08749500000000002</v>
      </c>
      <c r="S16" s="15">
        <v>0.045477</v>
      </c>
      <c r="T16" s="15">
        <v>0.06226849999999999</v>
      </c>
      <c r="U16" s="15">
        <v>0.093365</v>
      </c>
      <c r="V16" s="15">
        <v>0.052835</v>
      </c>
      <c r="W16" s="15">
        <v>0.08683</v>
      </c>
      <c r="X16" s="15">
        <v>0.04466</v>
      </c>
      <c r="Y16" s="15">
        <v>0.061055</v>
      </c>
      <c r="Z16" s="15">
        <v>0.08295</v>
      </c>
      <c r="AA16" s="15">
        <v>0.006602776896882098</v>
      </c>
      <c r="AB16" s="16">
        <v>0.007689717485057562</v>
      </c>
      <c r="AC16" s="16">
        <v>0.007937075090989123</v>
      </c>
      <c r="AD16" s="16">
        <v>0.005979517769017832</v>
      </c>
      <c r="AE16" s="16">
        <v>0.0262942998575737</v>
      </c>
      <c r="AG16" s="16">
        <v>0.62538</v>
      </c>
      <c r="AH16" s="16">
        <v>0.4805</v>
      </c>
      <c r="AI16" s="16">
        <v>0.10134</v>
      </c>
      <c r="AJ16" s="16">
        <v>0.61767</v>
      </c>
      <c r="AK16" s="16">
        <v>0.61767</v>
      </c>
      <c r="AL16" s="16">
        <v>0.10968</v>
      </c>
    </row>
    <row r="17">
      <c r="A17" s="14" t="s">
        <v>29</v>
      </c>
      <c r="B17" s="15">
        <v>0.0283425</v>
      </c>
      <c r="C17" s="16">
        <v>0.07573500000000001</v>
      </c>
      <c r="D17" s="16">
        <v>0.0454055</v>
      </c>
      <c r="E17" s="16">
        <v>0.0550775</v>
      </c>
      <c r="F17" s="16">
        <v>0.07233250000000001</v>
      </c>
      <c r="G17" s="16">
        <v>0.02772</v>
      </c>
      <c r="H17" s="16">
        <v>0.07802500000000001</v>
      </c>
      <c r="I17" s="16">
        <v>0.045325</v>
      </c>
      <c r="J17" s="16">
        <v>0.05538999999999999</v>
      </c>
      <c r="K17" s="16">
        <v>0.07133</v>
      </c>
      <c r="L17" s="16">
        <v>0.004951823780184429</v>
      </c>
      <c r="M17" s="16">
        <v>0.006268800124425726</v>
      </c>
      <c r="N17" s="16">
        <v>0.007567957105454549</v>
      </c>
      <c r="O17" s="16">
        <v>0.005596432680735113</v>
      </c>
      <c r="P17" s="16">
        <v>0.01561545064191232</v>
      </c>
      <c r="Q17" s="15">
        <v>0.066027</v>
      </c>
      <c r="R17" s="15">
        <v>0.05000800000000001</v>
      </c>
      <c r="S17" s="15">
        <v>0.03377399999999999</v>
      </c>
      <c r="T17" s="15">
        <v>0.03823600000000001</v>
      </c>
      <c r="U17" s="15">
        <v>0.07435649999999996</v>
      </c>
      <c r="V17" s="15">
        <v>0.06584</v>
      </c>
      <c r="W17" s="15">
        <v>0.049245</v>
      </c>
      <c r="X17" s="15">
        <v>0.033905</v>
      </c>
      <c r="Y17" s="15">
        <v>0.03771</v>
      </c>
      <c r="Z17" s="15">
        <v>0.078565</v>
      </c>
      <c r="AA17" s="15">
        <v>0.002923405719362264</v>
      </c>
      <c r="AB17" s="16">
        <v>0.003748540515987522</v>
      </c>
      <c r="AC17" s="16">
        <v>0.004060016502429516</v>
      </c>
      <c r="AD17" s="16">
        <v>0.002373696273746918</v>
      </c>
      <c r="AE17" s="16">
        <v>0.02068771647016654</v>
      </c>
      <c r="AG17" s="16">
        <v>0.79814</v>
      </c>
      <c r="AH17" s="16">
        <v>0.5757</v>
      </c>
      <c r="AI17" s="16">
        <v>0.08406</v>
      </c>
      <c r="AJ17" s="16">
        <v>0.61744</v>
      </c>
      <c r="AK17" s="16">
        <v>0.52947</v>
      </c>
      <c r="AL17" s="16">
        <v>0.08872</v>
      </c>
    </row>
    <row r="18">
      <c r="A18" s="14" t="s">
        <v>30</v>
      </c>
      <c r="B18" s="15">
        <v>0.024924</v>
      </c>
      <c r="C18" s="16">
        <v>0.08624699999999999</v>
      </c>
      <c r="D18" s="16">
        <v>0.0494025</v>
      </c>
      <c r="E18" s="16">
        <v>0.05675</v>
      </c>
      <c r="F18" s="16">
        <v>0.081495</v>
      </c>
      <c r="G18" s="16">
        <v>0.024275</v>
      </c>
      <c r="H18" s="16">
        <v>0.08610999999999999</v>
      </c>
      <c r="I18" s="16">
        <v>0.04849</v>
      </c>
      <c r="J18" s="16">
        <v>0.05538</v>
      </c>
      <c r="K18" s="16">
        <v>0.072015</v>
      </c>
      <c r="L18" s="16">
        <v>0.003391003391328295</v>
      </c>
      <c r="M18" s="16">
        <v>0.009151026226604313</v>
      </c>
      <c r="N18" s="16">
        <v>0.009961430055468942</v>
      </c>
      <c r="O18" s="16">
        <v>0.004153772983686037</v>
      </c>
      <c r="P18" s="16">
        <v>0.02281926653071917</v>
      </c>
      <c r="Q18" s="15">
        <v>0.0158125</v>
      </c>
      <c r="R18" s="15">
        <v>0.07982299999999999</v>
      </c>
      <c r="S18" s="15">
        <v>0.035704</v>
      </c>
      <c r="T18" s="15">
        <v>0.0519235</v>
      </c>
      <c r="U18" s="15">
        <v>0.082164</v>
      </c>
      <c r="V18" s="15">
        <v>0.01184</v>
      </c>
      <c r="W18" s="15">
        <v>0.07936</v>
      </c>
      <c r="X18" s="15">
        <v>0.03261</v>
      </c>
      <c r="Y18" s="15">
        <v>0.05234</v>
      </c>
      <c r="Z18" s="15">
        <v>0.08031</v>
      </c>
      <c r="AA18" s="15">
        <v>0.007707657150522459</v>
      </c>
      <c r="AB18" s="16">
        <v>0.00708230478022515</v>
      </c>
      <c r="AC18" s="16">
        <v>0.01265241692326016</v>
      </c>
      <c r="AD18" s="16">
        <v>0.006077396872839556</v>
      </c>
      <c r="AE18" s="16">
        <v>0.02657235732862254</v>
      </c>
      <c r="AG18" s="16">
        <v>0.48062</v>
      </c>
      <c r="AH18" s="16">
        <v>0.33005</v>
      </c>
      <c r="AI18" s="16">
        <v>0.05793</v>
      </c>
      <c r="AJ18" s="16">
        <v>0.50882</v>
      </c>
      <c r="AK18" s="16">
        <v>0.50882</v>
      </c>
      <c r="AL18" s="16">
        <v>0.07842</v>
      </c>
    </row>
    <row r="19">
      <c r="A19" s="14" t="s">
        <v>31</v>
      </c>
      <c r="B19" s="15">
        <v>0.072959</v>
      </c>
      <c r="C19" s="16">
        <v>0.08544750000000001</v>
      </c>
      <c r="D19" s="16">
        <v>0.0460035</v>
      </c>
      <c r="E19" s="16">
        <v>0.056504</v>
      </c>
      <c r="F19" s="16">
        <v>0.1087135</v>
      </c>
      <c r="G19" s="16">
        <v>0.073605</v>
      </c>
      <c r="H19" s="16">
        <v>0.084515</v>
      </c>
      <c r="I19" s="16">
        <v>0.043715</v>
      </c>
      <c r="J19" s="16">
        <v>0.058155</v>
      </c>
      <c r="K19" s="16">
        <v>0.10953</v>
      </c>
      <c r="L19" s="16">
        <v>0.01034551105552549</v>
      </c>
      <c r="M19" s="16">
        <v>0.006990629352926672</v>
      </c>
      <c r="N19" s="16">
        <v>0.009212420569535458</v>
      </c>
      <c r="O19" s="16">
        <v>0.006242384480308787</v>
      </c>
      <c r="P19" s="16">
        <v>0.02015036309226214</v>
      </c>
      <c r="Q19" s="15">
        <v>0.0485465</v>
      </c>
      <c r="R19" s="15">
        <v>0.07390899999999999</v>
      </c>
      <c r="S19" s="15">
        <v>0.038192</v>
      </c>
      <c r="T19" s="15">
        <v>0.04880050000000001</v>
      </c>
      <c r="U19" s="15">
        <v>0.080661</v>
      </c>
      <c r="V19" s="15">
        <v>0.04793</v>
      </c>
      <c r="W19" s="15">
        <v>0.07516</v>
      </c>
      <c r="X19" s="15">
        <v>0.036385</v>
      </c>
      <c r="Y19" s="15">
        <v>0.048345</v>
      </c>
      <c r="Z19" s="15">
        <v>0.083255</v>
      </c>
      <c r="AA19" s="15">
        <v>0.005777881337480029</v>
      </c>
      <c r="AB19" s="16">
        <v>0.005528902151422106</v>
      </c>
      <c r="AC19" s="16">
        <v>0.007419939757167844</v>
      </c>
      <c r="AD19" s="16">
        <v>0.004844983462304076</v>
      </c>
      <c r="AE19" s="16">
        <v>0.01383681065130256</v>
      </c>
      <c r="AG19" s="16">
        <v>0.65569</v>
      </c>
      <c r="AH19" s="16">
        <v>0.65569</v>
      </c>
      <c r="AI19" s="16">
        <v>0.10922</v>
      </c>
      <c r="AJ19" s="16">
        <v>0.69193</v>
      </c>
      <c r="AK19" s="16">
        <v>0.49259</v>
      </c>
      <c r="AL19" s="16">
        <v>0.13918</v>
      </c>
    </row>
    <row r="20">
      <c r="A20" s="14" t="s">
        <v>32</v>
      </c>
      <c r="B20" s="15">
        <v>0.0418565</v>
      </c>
      <c r="C20" s="16">
        <v>0.0690705</v>
      </c>
      <c r="D20" s="16">
        <v>0.039838</v>
      </c>
      <c r="E20" s="16">
        <v>0.0479965</v>
      </c>
      <c r="F20" s="16">
        <v>0.09080250000000001</v>
      </c>
      <c r="G20" s="16">
        <v>0.04158</v>
      </c>
      <c r="H20" s="16">
        <v>0.06961</v>
      </c>
      <c r="I20" s="16">
        <v>0.039375</v>
      </c>
      <c r="J20" s="16">
        <v>0.047805</v>
      </c>
      <c r="K20" s="16">
        <v>0.08495</v>
      </c>
      <c r="L20" s="16">
        <v>0.002930653979916428</v>
      </c>
      <c r="M20" s="16">
        <v>0.005667873035804525</v>
      </c>
      <c r="N20" s="16">
        <v>0.006735311871027206</v>
      </c>
      <c r="O20" s="16">
        <v>0.003038481981187317</v>
      </c>
      <c r="P20" s="16">
        <v>0.03019008295367868</v>
      </c>
      <c r="Q20" s="15">
        <v>0.04033300000000001</v>
      </c>
      <c r="R20" s="15">
        <v>0.0613375</v>
      </c>
      <c r="S20" s="15">
        <v>0.0304685</v>
      </c>
      <c r="T20" s="15">
        <v>0.037169</v>
      </c>
      <c r="U20" s="15">
        <v>0.0786155</v>
      </c>
      <c r="V20" s="15">
        <v>0.038975</v>
      </c>
      <c r="W20" s="15">
        <v>0.060245</v>
      </c>
      <c r="X20" s="15">
        <v>0.03118</v>
      </c>
      <c r="Y20" s="15">
        <v>0.03772499999999999</v>
      </c>
      <c r="Z20" s="15">
        <v>0.07622</v>
      </c>
      <c r="AA20" s="15">
        <v>0.00436754862594568</v>
      </c>
      <c r="AB20" s="16">
        <v>0.006375898270047915</v>
      </c>
      <c r="AC20" s="16">
        <v>0.004288165429411509</v>
      </c>
      <c r="AD20" s="16">
        <v>0.003395203823042145</v>
      </c>
      <c r="AE20" s="16">
        <v>0.01084460763467263</v>
      </c>
      <c r="AG20" s="16">
        <v>0.78596</v>
      </c>
      <c r="AH20" s="16">
        <v>0.78596</v>
      </c>
      <c r="AI20" s="16">
        <v>0.09638</v>
      </c>
      <c r="AJ20" s="16">
        <v>0.5519</v>
      </c>
      <c r="AK20" s="16">
        <v>0.50733</v>
      </c>
      <c r="AL20" s="16">
        <v>0.12767</v>
      </c>
    </row>
    <row r="21">
      <c r="A21" s="14" t="s">
        <v>33</v>
      </c>
      <c r="B21" s="15">
        <v>0.0398915</v>
      </c>
      <c r="C21" s="16">
        <v>0.06975050000000001</v>
      </c>
      <c r="D21" s="16">
        <v>0.0332405</v>
      </c>
      <c r="E21" s="16">
        <v>0.04531249999999999</v>
      </c>
      <c r="F21" s="16">
        <v>0.07854</v>
      </c>
      <c r="G21" s="16">
        <v>0.03945</v>
      </c>
      <c r="H21" s="16">
        <v>0.069895</v>
      </c>
      <c r="I21" s="16">
        <v>0.03333999999999999</v>
      </c>
      <c r="J21" s="16">
        <v>0.04409</v>
      </c>
      <c r="K21" s="16">
        <v>0.076155</v>
      </c>
      <c r="L21" s="16">
        <v>0.002764753650870182</v>
      </c>
      <c r="M21" s="16">
        <v>0.004408995889088582</v>
      </c>
      <c r="N21" s="16">
        <v>0.004252004791859953</v>
      </c>
      <c r="O21" s="16">
        <v>0.003690795137907277</v>
      </c>
      <c r="P21" s="16">
        <v>0.02192040259666779</v>
      </c>
      <c r="Q21" s="15">
        <v>0.0431445</v>
      </c>
      <c r="R21" s="15">
        <v>0.0933835</v>
      </c>
      <c r="S21" s="15">
        <v>0.035765</v>
      </c>
      <c r="T21" s="15">
        <v>0.06004950000000001</v>
      </c>
      <c r="U21" s="15">
        <v>0.07995850000000002</v>
      </c>
      <c r="V21" s="15">
        <v>0.040115</v>
      </c>
      <c r="W21" s="15">
        <v>0.09404499999999999</v>
      </c>
      <c r="X21" s="15">
        <v>0.03412</v>
      </c>
      <c r="Y21" s="15">
        <v>0.0612</v>
      </c>
      <c r="Z21" s="15">
        <v>0.07808999999999999</v>
      </c>
      <c r="AA21" s="15">
        <v>0.008366491782700798</v>
      </c>
      <c r="AB21" s="16">
        <v>0.009857289320599249</v>
      </c>
      <c r="AC21" s="16">
        <v>0.009729462729256946</v>
      </c>
      <c r="AD21" s="16">
        <v>0.006207271119421158</v>
      </c>
      <c r="AE21" s="16">
        <v>0.01717579846033366</v>
      </c>
      <c r="AG21" s="16">
        <v>0.52439</v>
      </c>
      <c r="AH21" s="16">
        <v>0.38116</v>
      </c>
      <c r="AI21" s="16">
        <v>0.10512</v>
      </c>
      <c r="AJ21" s="16">
        <v>0.6477</v>
      </c>
      <c r="AK21" s="16">
        <v>0.6477</v>
      </c>
      <c r="AL21" s="16">
        <v>0.15561</v>
      </c>
    </row>
    <row r="22">
      <c r="A22" s="14" t="s">
        <v>34</v>
      </c>
      <c r="B22" s="15">
        <v>0.0480875</v>
      </c>
      <c r="C22" s="16">
        <v>0.0915015</v>
      </c>
      <c r="D22" s="16">
        <v>0.041558</v>
      </c>
      <c r="E22" s="16">
        <v>0.0597835</v>
      </c>
      <c r="F22" s="16">
        <v>0.08912350000000001</v>
      </c>
      <c r="G22" s="16">
        <v>0.050175</v>
      </c>
      <c r="H22" s="16">
        <v>0.09134500000000001</v>
      </c>
      <c r="I22" s="16">
        <v>0.04171</v>
      </c>
      <c r="J22" s="16">
        <v>0.05981</v>
      </c>
      <c r="K22" s="16">
        <v>0.086065</v>
      </c>
      <c r="L22" s="16">
        <v>0.009205169675242278</v>
      </c>
      <c r="M22" s="16">
        <v>0.002945653195812432</v>
      </c>
      <c r="N22" s="16">
        <v>0.004630610758852442</v>
      </c>
      <c r="O22" s="16">
        <v>0.003020417644962365</v>
      </c>
      <c r="P22" s="16">
        <v>0.01464233597312943</v>
      </c>
      <c r="Q22" s="15">
        <v>0.0474705</v>
      </c>
      <c r="R22" s="15">
        <v>0.1006865</v>
      </c>
      <c r="S22" s="15">
        <v>0.0438995</v>
      </c>
      <c r="T22" s="15">
        <v>0.06459699999999999</v>
      </c>
      <c r="U22" s="15">
        <v>0.09134650000000002</v>
      </c>
      <c r="V22" s="15">
        <v>0.04553</v>
      </c>
      <c r="W22" s="15">
        <v>0.10056</v>
      </c>
      <c r="X22" s="15">
        <v>0.044045</v>
      </c>
      <c r="Y22" s="15">
        <v>0.063395</v>
      </c>
      <c r="Z22" s="15">
        <v>0.090305</v>
      </c>
      <c r="AA22" s="15">
        <v>0.008589919368073252</v>
      </c>
      <c r="AB22" s="16">
        <v>0.003869760037780121</v>
      </c>
      <c r="AC22" s="16">
        <v>0.007496212693754093</v>
      </c>
      <c r="AD22" s="16">
        <v>0.003433609034237881</v>
      </c>
      <c r="AE22" s="16">
        <v>0.01460453569101052</v>
      </c>
      <c r="AG22" s="16">
        <v>0.67705</v>
      </c>
      <c r="AH22" s="16">
        <v>0.35829</v>
      </c>
      <c r="AI22" s="16">
        <v>0.03703</v>
      </c>
      <c r="AJ22" s="16">
        <v>0.79601</v>
      </c>
      <c r="AK22" s="16">
        <v>0.49084</v>
      </c>
      <c r="AL22" s="16">
        <v>0.04442</v>
      </c>
    </row>
    <row r="23">
      <c r="A23" s="14" t="s">
        <v>35</v>
      </c>
      <c r="B23" s="15">
        <v>0.04759550000000001</v>
      </c>
      <c r="C23" s="16">
        <v>0.087853</v>
      </c>
      <c r="D23" s="16">
        <v>0.03702799999999999</v>
      </c>
      <c r="E23" s="16">
        <v>0.0554905</v>
      </c>
      <c r="F23" s="16">
        <v>0.08418899999999999</v>
      </c>
      <c r="G23" s="16">
        <v>0.04671</v>
      </c>
      <c r="H23" s="16">
        <v>0.08779</v>
      </c>
      <c r="I23" s="16">
        <v>0.036705</v>
      </c>
      <c r="J23" s="16">
        <v>0.05523</v>
      </c>
      <c r="K23" s="16">
        <v>0.0768</v>
      </c>
      <c r="L23" s="16">
        <v>0.008127672775770442</v>
      </c>
      <c r="M23" s="16">
        <v>0.004314328568850546</v>
      </c>
      <c r="N23" s="16">
        <v>0.004815645958747383</v>
      </c>
      <c r="O23" s="16">
        <v>0.003977666998379829</v>
      </c>
      <c r="P23" s="16">
        <v>0.02040606745553881</v>
      </c>
      <c r="Q23" s="15">
        <v>0.042422</v>
      </c>
      <c r="R23" s="15">
        <v>0.08589100000000001</v>
      </c>
      <c r="S23" s="15">
        <v>0.0390555</v>
      </c>
      <c r="T23" s="15">
        <v>0.05372600000000001</v>
      </c>
      <c r="U23" s="15">
        <v>0.08396199999999998</v>
      </c>
      <c r="V23" s="15">
        <v>0.04276</v>
      </c>
      <c r="W23" s="15">
        <v>0.08621000000000001</v>
      </c>
      <c r="X23" s="15">
        <v>0.03883499999999999</v>
      </c>
      <c r="Y23" s="15">
        <v>0.05421</v>
      </c>
      <c r="Z23" s="15">
        <v>0.08238999999999999</v>
      </c>
      <c r="AA23" s="15">
        <v>0.004049946419398656</v>
      </c>
      <c r="AB23" s="16">
        <v>0.004346985047133243</v>
      </c>
      <c r="AC23" s="16">
        <v>0.003966707041111053</v>
      </c>
      <c r="AD23" s="16">
        <v>0.002364321044190065</v>
      </c>
      <c r="AE23" s="16">
        <v>0.0143068062823259</v>
      </c>
      <c r="AG23" s="16">
        <v>0.82755</v>
      </c>
      <c r="AH23" s="16">
        <v>0.57956</v>
      </c>
      <c r="AI23" s="16">
        <v>0.053</v>
      </c>
      <c r="AJ23" s="16">
        <v>0.73855</v>
      </c>
      <c r="AK23" s="16">
        <v>0.44978</v>
      </c>
      <c r="AL23" s="16">
        <v>0.04937</v>
      </c>
    </row>
    <row r="24">
      <c r="A24" s="14" t="s">
        <v>36</v>
      </c>
      <c r="B24" s="15">
        <v>0.0367985</v>
      </c>
      <c r="C24" s="16">
        <v>0.1173215</v>
      </c>
      <c r="D24" s="16">
        <v>0.044735</v>
      </c>
      <c r="E24" s="16">
        <v>0.07416299999999999</v>
      </c>
      <c r="F24" s="16">
        <v>0.08336400000000001</v>
      </c>
      <c r="G24" s="16">
        <v>0.03461</v>
      </c>
      <c r="H24" s="16">
        <v>0.117705</v>
      </c>
      <c r="I24" s="16">
        <v>0.04616</v>
      </c>
      <c r="J24" s="16">
        <v>0.07328</v>
      </c>
      <c r="K24" s="16">
        <v>0.08271999999999999</v>
      </c>
      <c r="L24" s="16">
        <v>0.008021582932937862</v>
      </c>
      <c r="M24" s="16">
        <v>0.005578702604548839</v>
      </c>
      <c r="N24" s="16">
        <v>0.008743283994015064</v>
      </c>
      <c r="O24" s="16">
        <v>0.004662750368612927</v>
      </c>
      <c r="P24" s="16">
        <v>0.01860672201114425</v>
      </c>
      <c r="Q24" s="15">
        <v>0.03322899999999999</v>
      </c>
      <c r="R24" s="15">
        <v>0.08011850000000001</v>
      </c>
      <c r="S24" s="15">
        <v>0.0342355</v>
      </c>
      <c r="T24" s="15">
        <v>0.0489545</v>
      </c>
      <c r="U24" s="15">
        <v>0.09415799999999999</v>
      </c>
      <c r="V24" s="15">
        <v>0.03321</v>
      </c>
      <c r="W24" s="15">
        <v>0.079935</v>
      </c>
      <c r="X24" s="15">
        <v>0.034855</v>
      </c>
      <c r="Y24" s="15">
        <v>0.049575</v>
      </c>
      <c r="Z24" s="15">
        <v>0.0945</v>
      </c>
      <c r="AA24" s="15">
        <v>0.004359354195290858</v>
      </c>
      <c r="AB24" s="16">
        <v>0.00433819118412271</v>
      </c>
      <c r="AC24" s="16">
        <v>0.003500304951000698</v>
      </c>
      <c r="AD24" s="16">
        <v>0.002711979857963551</v>
      </c>
      <c r="AE24" s="16">
        <v>0.01826892459889197</v>
      </c>
      <c r="AG24" s="16">
        <v>0.7731</v>
      </c>
      <c r="AH24" s="16">
        <v>0.50713</v>
      </c>
      <c r="AI24" s="16">
        <v>0.03053</v>
      </c>
      <c r="AJ24" s="16">
        <v>0.63399</v>
      </c>
      <c r="AK24" s="16">
        <v>0.42273</v>
      </c>
      <c r="AL24" s="16">
        <v>0.02652</v>
      </c>
    </row>
    <row r="25">
      <c r="A25" s="14" t="s">
        <v>37</v>
      </c>
      <c r="B25" s="15">
        <v>0.05359199999999999</v>
      </c>
      <c r="C25" s="16">
        <v>0.08664299999999998</v>
      </c>
      <c r="D25" s="16">
        <v>0.0361755</v>
      </c>
      <c r="E25" s="16">
        <v>0.0563965</v>
      </c>
      <c r="F25" s="16">
        <v>0.08326750000000001</v>
      </c>
      <c r="G25" s="16">
        <v>0.05401</v>
      </c>
      <c r="H25" s="16">
        <v>0.087545</v>
      </c>
      <c r="I25" s="16">
        <v>0.0361</v>
      </c>
      <c r="J25" s="16">
        <v>0.0571</v>
      </c>
      <c r="K25" s="16">
        <v>0.07889499999999999</v>
      </c>
      <c r="L25" s="16">
        <v>0.005713977248817149</v>
      </c>
      <c r="M25" s="16">
        <v>0.005657813270160124</v>
      </c>
      <c r="N25" s="16">
        <v>0.005269417875818922</v>
      </c>
      <c r="O25" s="16">
        <v>0.003125270028333552</v>
      </c>
      <c r="P25" s="16">
        <v>0.02381845458357867</v>
      </c>
      <c r="Q25" s="15">
        <v>0.0452915</v>
      </c>
      <c r="R25" s="15">
        <v>0.08179449999999999</v>
      </c>
      <c r="S25" s="15">
        <v>0.0332435</v>
      </c>
      <c r="T25" s="15">
        <v>0.0521365</v>
      </c>
      <c r="U25" s="15">
        <v>0.07859649999999999</v>
      </c>
      <c r="V25" s="15">
        <v>0.044655</v>
      </c>
      <c r="W25" s="15">
        <v>0.081665</v>
      </c>
      <c r="X25" s="15">
        <v>0.033305</v>
      </c>
      <c r="Y25" s="15">
        <v>0.05272499999999999</v>
      </c>
      <c r="Z25" s="15">
        <v>0.07605</v>
      </c>
      <c r="AA25" s="15">
        <v>0.006608270027019175</v>
      </c>
      <c r="AB25" s="16">
        <v>0.0049513114171904</v>
      </c>
      <c r="AC25" s="16">
        <v>0.004126773891310257</v>
      </c>
      <c r="AD25" s="16">
        <v>0.002660070064866713</v>
      </c>
      <c r="AE25" s="16">
        <v>0.01718817072145841</v>
      </c>
      <c r="AG25" s="16">
        <v>0.7546</v>
      </c>
      <c r="AH25" s="16">
        <v>0.45578</v>
      </c>
      <c r="AI25" s="16">
        <v>0.04173</v>
      </c>
      <c r="AJ25" s="16">
        <v>0.72068</v>
      </c>
      <c r="AK25" s="16">
        <v>0.40935</v>
      </c>
      <c r="AL25" s="16">
        <v>0.03945</v>
      </c>
    </row>
    <row r="26">
      <c r="A26" s="14" t="s">
        <v>38</v>
      </c>
      <c r="B26" s="15">
        <v>0.04899050000000001</v>
      </c>
      <c r="C26" s="16">
        <v>0.0857265</v>
      </c>
      <c r="D26" s="16">
        <v>0.033481</v>
      </c>
      <c r="E26" s="16">
        <v>0.05210050000000001</v>
      </c>
      <c r="F26" s="16">
        <v>0.09190450000000001</v>
      </c>
      <c r="G26" s="16">
        <v>0.04983</v>
      </c>
      <c r="H26" s="16">
        <v>0.086805</v>
      </c>
      <c r="I26" s="16">
        <v>0.031785</v>
      </c>
      <c r="J26" s="16">
        <v>0.053185</v>
      </c>
      <c r="K26" s="16">
        <v>0.0909</v>
      </c>
      <c r="L26" s="16">
        <v>0.004088791355645333</v>
      </c>
      <c r="M26" s="16">
        <v>0.004235708057692363</v>
      </c>
      <c r="N26" s="16">
        <v>0.004930233158786713</v>
      </c>
      <c r="O26" s="16">
        <v>0.003665255072979233</v>
      </c>
      <c r="P26" s="16">
        <v>0.01670236374738618</v>
      </c>
      <c r="Q26" s="15">
        <v>0.0318405</v>
      </c>
      <c r="R26" s="15">
        <v>0.1220515</v>
      </c>
      <c r="S26" s="15">
        <v>0.04946</v>
      </c>
      <c r="T26" s="15">
        <v>0.0758095</v>
      </c>
      <c r="U26" s="15">
        <v>0.1041705</v>
      </c>
      <c r="V26" s="15">
        <v>0.03047</v>
      </c>
      <c r="W26" s="15">
        <v>0.123355</v>
      </c>
      <c r="X26" s="15">
        <v>0.047715</v>
      </c>
      <c r="Y26" s="15">
        <v>0.07730000000000001</v>
      </c>
      <c r="Z26" s="15">
        <v>0.09748</v>
      </c>
      <c r="AA26" s="15">
        <v>0.006424938501651203</v>
      </c>
      <c r="AB26" s="16">
        <v>0.007675737277291345</v>
      </c>
      <c r="AC26" s="16">
        <v>0.008063040369488423</v>
      </c>
      <c r="AD26" s="16">
        <v>0.005681984226482858</v>
      </c>
      <c r="AE26" s="16">
        <v>0.02156715731731931</v>
      </c>
      <c r="AG26" s="16">
        <v>0.60368</v>
      </c>
      <c r="AH26" s="16">
        <v>0.356</v>
      </c>
      <c r="AI26" s="16">
        <v>0.03409</v>
      </c>
      <c r="AJ26" s="16">
        <v>0.85669</v>
      </c>
      <c r="AK26" s="16">
        <v>0.73019</v>
      </c>
      <c r="AL26" s="16">
        <v>0.06012</v>
      </c>
    </row>
    <row r="27">
      <c r="A27" s="14" t="s">
        <v>39</v>
      </c>
      <c r="B27" s="15">
        <v>0.0469895</v>
      </c>
      <c r="C27" s="16">
        <v>0.08344649999999999</v>
      </c>
      <c r="D27" s="16">
        <v>0.04104099999999999</v>
      </c>
      <c r="E27" s="16">
        <v>0.05685499999999999</v>
      </c>
      <c r="F27" s="16">
        <v>0.0868305</v>
      </c>
      <c r="G27" s="16">
        <v>0.049185</v>
      </c>
      <c r="H27" s="16">
        <v>0.083475</v>
      </c>
      <c r="I27" s="16">
        <v>0.040015</v>
      </c>
      <c r="J27" s="16">
        <v>0.05655</v>
      </c>
      <c r="K27" s="16">
        <v>0.08492</v>
      </c>
      <c r="L27" s="16">
        <v>0.00719754157681635</v>
      </c>
      <c r="M27" s="16">
        <v>0.005289437848202776</v>
      </c>
      <c r="N27" s="16">
        <v>0.004899873365710588</v>
      </c>
      <c r="O27" s="16">
        <v>0.00314891806816246</v>
      </c>
      <c r="P27" s="16">
        <v>0.01751842300979172</v>
      </c>
      <c r="Q27" s="15">
        <v>0.0493945</v>
      </c>
      <c r="R27" s="15">
        <v>0.100104</v>
      </c>
      <c r="S27" s="15">
        <v>0.045595</v>
      </c>
      <c r="T27" s="15">
        <v>0.06686099999999999</v>
      </c>
      <c r="U27" s="15">
        <v>0.090255</v>
      </c>
      <c r="V27" s="15">
        <v>0.047305</v>
      </c>
      <c r="W27" s="15">
        <v>0.101125</v>
      </c>
      <c r="X27" s="15">
        <v>0.045845</v>
      </c>
      <c r="Y27" s="15">
        <v>0.06644</v>
      </c>
      <c r="Z27" s="15">
        <v>0.085585</v>
      </c>
      <c r="AA27" s="15">
        <v>0.005310872315354606</v>
      </c>
      <c r="AB27" s="16">
        <v>0.003451333655270088</v>
      </c>
      <c r="AC27" s="16">
        <v>0.006332785721939438</v>
      </c>
      <c r="AD27" s="16">
        <v>0.002655720053017638</v>
      </c>
      <c r="AE27" s="16">
        <v>0.01673125652782839</v>
      </c>
      <c r="AG27" s="16">
        <v>0.7727</v>
      </c>
      <c r="AH27" s="16">
        <v>0.63559</v>
      </c>
      <c r="AI27" s="16">
        <v>0.06472</v>
      </c>
      <c r="AJ27" s="16">
        <v>0.77312</v>
      </c>
      <c r="AK27" s="16">
        <v>0.51643</v>
      </c>
      <c r="AL27" s="16">
        <v>0.04398</v>
      </c>
    </row>
    <row r="28">
      <c r="A28" s="14" t="s">
        <v>40</v>
      </c>
      <c r="B28" s="15">
        <v>0.105464</v>
      </c>
      <c r="C28" s="16">
        <v>0.148348</v>
      </c>
      <c r="D28" s="16">
        <v>0.09252999999999999</v>
      </c>
      <c r="E28" s="16">
        <v>0.1189205</v>
      </c>
      <c r="F28" s="16">
        <v>0.114451</v>
      </c>
      <c r="G28" s="16">
        <v>0.106325</v>
      </c>
      <c r="H28" s="16">
        <v>0.148825</v>
      </c>
      <c r="I28" s="16">
        <v>0.091405</v>
      </c>
      <c r="J28" s="16">
        <v>0.11995</v>
      </c>
      <c r="K28" s="16">
        <v>0.109715</v>
      </c>
      <c r="L28" s="16">
        <v>0.008471599848906936</v>
      </c>
      <c r="M28" s="16">
        <v>0.00222626503363818</v>
      </c>
      <c r="N28" s="16">
        <v>0.00513882087642681</v>
      </c>
      <c r="O28" s="16">
        <v>0.005615827165253576</v>
      </c>
      <c r="P28" s="16">
        <v>0.01719632167063643</v>
      </c>
      <c r="Q28" s="16">
        <v>0.07140350000000001</v>
      </c>
      <c r="R28" s="16">
        <v>0.1187445</v>
      </c>
      <c r="S28" s="16">
        <v>0.06496199999999999</v>
      </c>
      <c r="T28" s="16">
        <v>0.086967</v>
      </c>
      <c r="U28" s="16">
        <v>0.09604150000000002</v>
      </c>
      <c r="V28" s="16">
        <v>0.07322500000000001</v>
      </c>
      <c r="W28" s="16">
        <v>0.119195</v>
      </c>
      <c r="X28" s="16">
        <v>0.064805</v>
      </c>
      <c r="Y28" s="16">
        <v>0.086685</v>
      </c>
      <c r="Z28" s="16">
        <v>0.096355</v>
      </c>
      <c r="AA28" s="15">
        <v>0.008389629476323733</v>
      </c>
      <c r="AB28" s="16">
        <v>0.002011555306224517</v>
      </c>
      <c r="AC28" s="16">
        <v>0.004947496942899511</v>
      </c>
      <c r="AD28" s="16">
        <v>0.003106832953346543</v>
      </c>
      <c r="AE28" s="16">
        <v>0.008608472730397651</v>
      </c>
      <c r="AG28" s="16">
        <v>0.80632</v>
      </c>
      <c r="AH28" s="16">
        <v>0.42999</v>
      </c>
      <c r="AI28" s="16">
        <v>0.43124</v>
      </c>
      <c r="AJ28" s="16">
        <v>0.78387</v>
      </c>
      <c r="AK28" s="16">
        <v>0.43944</v>
      </c>
      <c r="AL28" s="16">
        <v>0.00445</v>
      </c>
    </row>
    <row r="29">
      <c r="A29" s="14" t="s">
        <v>41</v>
      </c>
      <c r="B29" s="15">
        <v>0.0718315</v>
      </c>
      <c r="C29" s="16">
        <v>0.1055575</v>
      </c>
      <c r="D29" s="16">
        <v>0.06269749999999999</v>
      </c>
      <c r="E29" s="16">
        <v>0.079784</v>
      </c>
      <c r="F29" s="16">
        <v>0.09165550000000001</v>
      </c>
      <c r="G29" s="16">
        <v>0.072885</v>
      </c>
      <c r="H29" s="16">
        <v>0.10627</v>
      </c>
      <c r="I29" s="16">
        <v>0.06239</v>
      </c>
      <c r="J29" s="16">
        <v>0.08044</v>
      </c>
      <c r="K29" s="16">
        <v>0.09232499999999999</v>
      </c>
      <c r="L29" s="16">
        <v>0.003198088921527981</v>
      </c>
      <c r="M29" s="16">
        <v>0.002736788035270542</v>
      </c>
      <c r="N29" s="16">
        <v>0.003624683262024422</v>
      </c>
      <c r="O29" s="16">
        <v>0.003405183401815534</v>
      </c>
      <c r="P29" s="16">
        <v>0.00965367881949674</v>
      </c>
      <c r="Q29" s="16">
        <v>0.098342</v>
      </c>
      <c r="R29" s="16">
        <v>0.149458</v>
      </c>
      <c r="S29" s="16">
        <v>0.088522</v>
      </c>
      <c r="T29" s="16">
        <v>0.1145545</v>
      </c>
      <c r="U29" s="16">
        <v>0.117629</v>
      </c>
      <c r="V29" s="16">
        <v>0.09740499999999999</v>
      </c>
      <c r="W29" s="16">
        <v>0.14962</v>
      </c>
      <c r="X29" s="16">
        <v>0.08821</v>
      </c>
      <c r="Y29" s="16">
        <v>0.11521</v>
      </c>
      <c r="Z29" s="16">
        <v>0.116655</v>
      </c>
      <c r="AA29" s="15">
        <v>0.01072952450018173</v>
      </c>
      <c r="AB29" s="16">
        <v>0.003818740106370159</v>
      </c>
      <c r="AC29" s="16">
        <v>0.004437664475825094</v>
      </c>
      <c r="AD29" s="16">
        <v>0.00462982880353043</v>
      </c>
      <c r="AE29" s="16">
        <v>0.01312178604459012</v>
      </c>
      <c r="AG29" s="16">
        <v>0.76368</v>
      </c>
      <c r="AH29" s="16">
        <v>0.42268</v>
      </c>
      <c r="AI29" s="16">
        <v>0.00779</v>
      </c>
      <c r="AJ29" s="16">
        <v>0.87534</v>
      </c>
      <c r="AK29" s="16">
        <v>0.58343</v>
      </c>
      <c r="AL29" s="16">
        <v>0.01401</v>
      </c>
    </row>
    <row r="30">
      <c r="A30" s="14" t="s">
        <v>42</v>
      </c>
      <c r="B30" s="15">
        <v>0.09778699999999999</v>
      </c>
      <c r="C30" s="16">
        <v>0.1468145</v>
      </c>
      <c r="D30" s="16">
        <v>0.0906085</v>
      </c>
      <c r="E30" s="16">
        <v>0.11597</v>
      </c>
      <c r="F30" s="16">
        <v>0.112027</v>
      </c>
      <c r="G30" s="16">
        <v>0.09829</v>
      </c>
      <c r="H30" s="16">
        <v>0.14768</v>
      </c>
      <c r="I30" s="16">
        <v>0.089285</v>
      </c>
      <c r="J30" s="16">
        <v>0.11576</v>
      </c>
      <c r="K30" s="16">
        <v>0.1112</v>
      </c>
      <c r="L30" s="16">
        <v>0.009683521105465715</v>
      </c>
      <c r="M30" s="16">
        <v>0.003511077434349745</v>
      </c>
      <c r="N30" s="16">
        <v>0.006417138984781301</v>
      </c>
      <c r="O30" s="16">
        <v>0.003449875360067373</v>
      </c>
      <c r="P30" s="16">
        <v>0.009474906912471487</v>
      </c>
      <c r="Q30" s="16">
        <v>0.0900465</v>
      </c>
      <c r="R30" s="16">
        <v>0.1440935</v>
      </c>
      <c r="S30" s="16">
        <v>0.0889485</v>
      </c>
      <c r="T30" s="16">
        <v>0.1110045</v>
      </c>
      <c r="U30" s="16">
        <v>0.1202095</v>
      </c>
      <c r="V30" s="16">
        <v>0.09056</v>
      </c>
      <c r="W30" s="16">
        <v>0.143745</v>
      </c>
      <c r="X30" s="16">
        <v>0.088565</v>
      </c>
      <c r="Y30" s="16">
        <v>0.11215</v>
      </c>
      <c r="Z30" s="16">
        <v>0.117095</v>
      </c>
      <c r="AA30" s="15">
        <v>0.005487359360384555</v>
      </c>
      <c r="AB30" s="16">
        <v>0.002937455148593765</v>
      </c>
      <c r="AC30" s="16">
        <v>0.004839457898360103</v>
      </c>
      <c r="AD30" s="16">
        <v>0.004921821283833861</v>
      </c>
      <c r="AE30" s="16">
        <v>0.01628427292666148</v>
      </c>
      <c r="AG30" s="16">
        <v>0.78878</v>
      </c>
      <c r="AH30" s="16">
        <v>0.41451</v>
      </c>
      <c r="AI30" s="16">
        <v>0.05318</v>
      </c>
      <c r="AJ30" s="16">
        <v>0.76943</v>
      </c>
      <c r="AK30" s="16">
        <v>0.42788</v>
      </c>
      <c r="AL30" s="16">
        <v>0.00545</v>
      </c>
    </row>
    <row r="31">
      <c r="A31" s="14" t="s">
        <v>43</v>
      </c>
      <c r="B31" s="15">
        <v>0.06195849999999999</v>
      </c>
      <c r="C31" s="16">
        <v>0.09958349999999999</v>
      </c>
      <c r="D31" s="16">
        <v>0.05672450000000001</v>
      </c>
      <c r="E31" s="16">
        <v>0.07527249999999999</v>
      </c>
      <c r="F31" s="16">
        <v>0.09386199999999999</v>
      </c>
      <c r="G31" s="16">
        <v>0.06257</v>
      </c>
      <c r="H31" s="16">
        <v>0.100265</v>
      </c>
      <c r="I31" s="16">
        <v>0.056535</v>
      </c>
      <c r="J31" s="16">
        <v>0.075095</v>
      </c>
      <c r="K31" s="16">
        <v>0.09492500000000001</v>
      </c>
      <c r="L31" s="16">
        <v>0.003268662226354995</v>
      </c>
      <c r="M31" s="16">
        <v>0.00314563709763221</v>
      </c>
      <c r="N31" s="16">
        <v>0.005286873816349318</v>
      </c>
      <c r="O31" s="16">
        <v>0.003452210704751378</v>
      </c>
      <c r="P31" s="16">
        <v>0.01012577878486391</v>
      </c>
      <c r="Q31" s="16">
        <v>0.042528</v>
      </c>
      <c r="R31" s="16">
        <v>0.08758550000000001</v>
      </c>
      <c r="S31" s="16">
        <v>0.034806</v>
      </c>
      <c r="T31" s="16">
        <v>0.05713700000000001</v>
      </c>
      <c r="U31" s="16">
        <v>0.07622699999999999</v>
      </c>
      <c r="V31" s="16">
        <v>0.04184499999999999</v>
      </c>
      <c r="W31" s="16">
        <v>0.08751500000000001</v>
      </c>
      <c r="X31" s="16">
        <v>0.034195</v>
      </c>
      <c r="Y31" s="16">
        <v>0.05714</v>
      </c>
      <c r="Z31" s="16">
        <v>0.07456</v>
      </c>
      <c r="AA31" s="15">
        <v>0.004861692709334888</v>
      </c>
      <c r="AB31" s="16">
        <v>0.002867919934377528</v>
      </c>
      <c r="AC31" s="16">
        <v>0.004402620128968657</v>
      </c>
      <c r="AD31" s="16">
        <v>0.003638464099039594</v>
      </c>
      <c r="AE31" s="16">
        <v>0.008979555723976547</v>
      </c>
      <c r="AG31" s="16">
        <v>0.86096</v>
      </c>
      <c r="AH31" s="16">
        <v>0.50024</v>
      </c>
      <c r="AI31" s="16">
        <v>0.84985</v>
      </c>
      <c r="AJ31" s="16">
        <v>0.88619</v>
      </c>
      <c r="AK31" s="16">
        <v>0.45767</v>
      </c>
      <c r="AL31" s="16">
        <v>0.01143</v>
      </c>
    </row>
    <row r="32">
      <c r="A32" s="14" t="s">
        <v>44</v>
      </c>
      <c r="B32" s="15">
        <v>0.100123</v>
      </c>
      <c r="C32" s="16">
        <v>0.1333365</v>
      </c>
      <c r="D32" s="16">
        <v>0.082985</v>
      </c>
      <c r="E32" s="16">
        <v>0.1064545</v>
      </c>
      <c r="F32" s="16">
        <v>0.112908</v>
      </c>
      <c r="G32" s="16">
        <v>0.10086</v>
      </c>
      <c r="H32" s="16">
        <v>0.133975</v>
      </c>
      <c r="I32" s="16">
        <v>0.084295</v>
      </c>
      <c r="J32" s="16">
        <v>0.10571</v>
      </c>
      <c r="K32" s="16">
        <v>0.11212</v>
      </c>
      <c r="L32" s="16">
        <v>0.007956701012354303</v>
      </c>
      <c r="M32" s="16">
        <v>0.003468789810582357</v>
      </c>
      <c r="N32" s="16">
        <v>0.00793040446635605</v>
      </c>
      <c r="O32" s="16">
        <v>0.004590509203781209</v>
      </c>
      <c r="P32" s="16">
        <v>0.01189094092155873</v>
      </c>
      <c r="Q32" s="16">
        <v>0.0775585</v>
      </c>
      <c r="R32" s="16">
        <v>0.1378605</v>
      </c>
      <c r="S32" s="16">
        <v>0.080396</v>
      </c>
      <c r="T32" s="16">
        <v>0.1056175</v>
      </c>
      <c r="U32" s="16">
        <v>0.1105805</v>
      </c>
      <c r="V32" s="16">
        <v>0.08027000000000001</v>
      </c>
      <c r="W32" s="16">
        <v>0.138455</v>
      </c>
      <c r="X32" s="16">
        <v>0.08025499999999999</v>
      </c>
      <c r="Y32" s="16">
        <v>0.10571</v>
      </c>
      <c r="Z32" s="16">
        <v>0.10746</v>
      </c>
      <c r="AA32" s="15">
        <v>0.006256604730203117</v>
      </c>
      <c r="AB32" s="16">
        <v>0.002264227186039424</v>
      </c>
      <c r="AC32" s="16">
        <v>0.0062392566864972</v>
      </c>
      <c r="AD32" s="16">
        <v>0.004542327459574</v>
      </c>
      <c r="AE32" s="16">
        <v>0.01064377492950692</v>
      </c>
      <c r="AG32" s="16">
        <v>0.78785</v>
      </c>
      <c r="AH32" s="16">
        <v>0.40331</v>
      </c>
      <c r="AI32" s="16">
        <v>0.28381</v>
      </c>
      <c r="AJ32" s="16">
        <v>0.77931</v>
      </c>
      <c r="AK32" s="16">
        <v>0.44784</v>
      </c>
      <c r="AL32" s="16">
        <v>0.00611</v>
      </c>
    </row>
    <row r="33">
      <c r="A33" s="14" t="s">
        <v>45</v>
      </c>
      <c r="B33" s="15">
        <v>0.0799135</v>
      </c>
      <c r="C33" s="16">
        <v>0.119585</v>
      </c>
      <c r="D33" s="16">
        <v>0.0751445</v>
      </c>
      <c r="E33" s="16">
        <v>0.094608</v>
      </c>
      <c r="F33" s="16">
        <v>0.10396</v>
      </c>
      <c r="G33" s="16">
        <v>0.08088500000000001</v>
      </c>
      <c r="H33" s="16">
        <v>0.11951</v>
      </c>
      <c r="I33" s="16">
        <v>0.075335</v>
      </c>
      <c r="J33" s="16">
        <v>0.09526</v>
      </c>
      <c r="K33" s="16">
        <v>0.104545</v>
      </c>
      <c r="L33" s="16">
        <v>0.00573650614485856</v>
      </c>
      <c r="M33" s="16">
        <v>0.002696661825294377</v>
      </c>
      <c r="N33" s="16">
        <v>0.005408166486897387</v>
      </c>
      <c r="O33" s="16">
        <v>0.004300783184490935</v>
      </c>
      <c r="P33" s="16">
        <v>0.006705626741774403</v>
      </c>
      <c r="Q33" s="16">
        <v>0.07357899999999999</v>
      </c>
      <c r="R33" s="16">
        <v>0.112883</v>
      </c>
      <c r="S33" s="16">
        <v>0.06794700000000001</v>
      </c>
      <c r="T33" s="16">
        <v>0.085712</v>
      </c>
      <c r="U33" s="16">
        <v>0.09861300000000002</v>
      </c>
      <c r="V33" s="16">
        <v>0.073295</v>
      </c>
      <c r="W33" s="16">
        <v>0.113655</v>
      </c>
      <c r="X33" s="16">
        <v>0.067445</v>
      </c>
      <c r="Y33" s="16">
        <v>0.08627</v>
      </c>
      <c r="Z33" s="16">
        <v>0.097845</v>
      </c>
      <c r="AA33" s="15">
        <v>0.003037368762596994</v>
      </c>
      <c r="AB33" s="16">
        <v>0.002567798862839535</v>
      </c>
      <c r="AC33" s="16">
        <v>0.004859010290172269</v>
      </c>
      <c r="AD33" s="16">
        <v>0.003943416792579755</v>
      </c>
      <c r="AE33" s="16">
        <v>0.007488473876565237</v>
      </c>
      <c r="AG33" s="16">
        <v>0.85413</v>
      </c>
      <c r="AH33" s="16">
        <v>0.41711</v>
      </c>
      <c r="AI33" s="16">
        <v>0.01238</v>
      </c>
      <c r="AJ33" s="16">
        <v>0.84088</v>
      </c>
      <c r="AK33" s="16">
        <v>0.64336</v>
      </c>
      <c r="AL33" s="16">
        <v>0.0075</v>
      </c>
    </row>
    <row r="34">
      <c r="A34" s="14" t="s">
        <v>46</v>
      </c>
      <c r="B34" s="15">
        <v>0.046941</v>
      </c>
      <c r="C34" s="16">
        <v>0.07301049999999999</v>
      </c>
      <c r="D34" s="16">
        <v>0.0460445</v>
      </c>
      <c r="E34" s="16">
        <v>0.0576735</v>
      </c>
      <c r="F34" s="16">
        <v>0.06053500000000001</v>
      </c>
      <c r="G34" s="16">
        <v>0.04672</v>
      </c>
      <c r="H34" s="16">
        <v>0.07286</v>
      </c>
      <c r="I34" s="16">
        <v>0.04579</v>
      </c>
      <c r="J34" s="16">
        <v>0.05795500000000001</v>
      </c>
      <c r="K34" s="16">
        <v>0.059185</v>
      </c>
      <c r="L34" s="16">
        <v>0.003529981444710439</v>
      </c>
      <c r="M34" s="16">
        <v>9.189965995584525E-4</v>
      </c>
      <c r="N34" s="16">
        <v>0.004042091630579395</v>
      </c>
      <c r="O34" s="16">
        <v>0.001381431413425943</v>
      </c>
      <c r="P34" s="16">
        <v>0.005241112000329702</v>
      </c>
      <c r="Q34" s="16">
        <v>0.044528</v>
      </c>
      <c r="R34" s="16">
        <v>0.07523350000000001</v>
      </c>
      <c r="S34" s="16">
        <v>0.042744</v>
      </c>
      <c r="T34" s="16">
        <v>0.05643549999999999</v>
      </c>
      <c r="U34" s="16">
        <v>0.054981</v>
      </c>
      <c r="V34" s="16">
        <v>0.044405</v>
      </c>
      <c r="W34" s="16">
        <v>0.075595</v>
      </c>
      <c r="X34" s="16">
        <v>0.04307</v>
      </c>
      <c r="Y34" s="16">
        <v>0.056245</v>
      </c>
      <c r="Z34" s="16">
        <v>0.05536</v>
      </c>
      <c r="AA34" s="15">
        <v>0.004332950034329961</v>
      </c>
      <c r="AB34" s="16">
        <v>0.002072489505401657</v>
      </c>
      <c r="AC34" s="16">
        <v>0.004969327318661954</v>
      </c>
      <c r="AD34" s="16">
        <v>0.002577918685684248</v>
      </c>
      <c r="AE34" s="16">
        <v>0.005944799323778727</v>
      </c>
      <c r="AG34" s="16">
        <v>0.95909</v>
      </c>
      <c r="AH34" s="16">
        <v>0.4924</v>
      </c>
      <c r="AI34" s="16">
        <v>0.9514</v>
      </c>
      <c r="AJ34" s="16">
        <v>0.9763</v>
      </c>
      <c r="AK34" s="16">
        <v>0.44102</v>
      </c>
      <c r="AL34" s="16">
        <v>0.94039</v>
      </c>
    </row>
    <row r="35">
      <c r="A35" s="14" t="s">
        <v>47</v>
      </c>
      <c r="B35" s="15">
        <v>0.048363</v>
      </c>
      <c r="C35" s="16">
        <v>0.071311</v>
      </c>
      <c r="D35" s="16">
        <v>0.03972949999999999</v>
      </c>
      <c r="E35" s="16">
        <v>0.054969</v>
      </c>
      <c r="F35" s="16">
        <v>0.0601305</v>
      </c>
      <c r="G35" s="16">
        <v>0.04838</v>
      </c>
      <c r="H35" s="16">
        <v>0.07122500000000001</v>
      </c>
      <c r="I35" s="16">
        <v>0.04025</v>
      </c>
      <c r="J35" s="16">
        <v>0.054725</v>
      </c>
      <c r="K35" s="16">
        <v>0.05975</v>
      </c>
      <c r="L35" s="16">
        <v>0.002300728362932053</v>
      </c>
      <c r="M35" s="16">
        <v>0.001813813386211492</v>
      </c>
      <c r="N35" s="16">
        <v>0.004596913611326626</v>
      </c>
      <c r="O35" s="16">
        <v>0.002554394057305959</v>
      </c>
      <c r="P35" s="16">
        <v>0.004448653138872483</v>
      </c>
      <c r="Q35" s="16">
        <v>0.042092</v>
      </c>
      <c r="R35" s="16">
        <v>0.07807800000000001</v>
      </c>
      <c r="S35" s="16">
        <v>0.0461055</v>
      </c>
      <c r="T35" s="16">
        <v>0.0598115</v>
      </c>
      <c r="U35" s="16">
        <v>0.061928</v>
      </c>
      <c r="V35" s="16">
        <v>0.04343</v>
      </c>
      <c r="W35" s="16">
        <v>0.07804</v>
      </c>
      <c r="X35" s="16">
        <v>0.04559000000000001</v>
      </c>
      <c r="Y35" s="16">
        <v>0.06001</v>
      </c>
      <c r="Z35" s="16">
        <v>0.06079</v>
      </c>
      <c r="AA35" s="15">
        <v>0.004431532015003389</v>
      </c>
      <c r="AB35" s="16">
        <v>0.001485643295007252</v>
      </c>
      <c r="AC35" s="16">
        <v>0.004419287810269885</v>
      </c>
      <c r="AD35" s="16">
        <v>0.002962474092713724</v>
      </c>
      <c r="AE35" s="16">
        <v>0.005631195787752367</v>
      </c>
      <c r="AG35" s="16">
        <v>0.98389</v>
      </c>
      <c r="AH35" s="16">
        <v>0.47057</v>
      </c>
      <c r="AI35" s="16">
        <v>0.97034</v>
      </c>
      <c r="AJ35" s="16">
        <v>0.96305</v>
      </c>
      <c r="AK35" s="16">
        <v>0.5004</v>
      </c>
      <c r="AL35" s="16">
        <v>0.90636</v>
      </c>
    </row>
    <row r="36">
      <c r="A36" s="14" t="s">
        <v>48</v>
      </c>
      <c r="B36" s="15">
        <v>0.0487305</v>
      </c>
      <c r="C36" s="16">
        <v>0.08149799999999999</v>
      </c>
      <c r="D36" s="16">
        <v>0.0510865</v>
      </c>
      <c r="E36" s="16">
        <v>0.0627395</v>
      </c>
      <c r="F36" s="16">
        <v>0.0649605</v>
      </c>
      <c r="G36" s="16">
        <v>0.048405</v>
      </c>
      <c r="H36" s="16">
        <v>0.081765</v>
      </c>
      <c r="I36" s="16">
        <v>0.051415</v>
      </c>
      <c r="J36" s="16">
        <v>0.06317</v>
      </c>
      <c r="K36" s="16">
        <v>0.066315</v>
      </c>
      <c r="L36" s="16">
        <v>0.003910150220899447</v>
      </c>
      <c r="M36" s="16">
        <v>0.001973440143505751</v>
      </c>
      <c r="N36" s="16">
        <v>0.004556113777113123</v>
      </c>
      <c r="O36" s="16">
        <v>0.002558084195252377</v>
      </c>
      <c r="P36" s="16">
        <v>0.006101811595747611</v>
      </c>
      <c r="Q36" s="16">
        <v>0.03797249999999999</v>
      </c>
      <c r="R36" s="16">
        <v>0.07850199999999999</v>
      </c>
      <c r="S36" s="16">
        <v>0.04216950000000001</v>
      </c>
      <c r="T36" s="16">
        <v>0.0589035</v>
      </c>
      <c r="U36" s="16">
        <v>0.06132149999999999</v>
      </c>
      <c r="V36" s="16">
        <v>0.03644</v>
      </c>
      <c r="W36" s="16">
        <v>0.07812</v>
      </c>
      <c r="X36" s="16">
        <v>0.041805</v>
      </c>
      <c r="Y36" s="16">
        <v>0.05869</v>
      </c>
      <c r="Z36" s="16">
        <v>0.063025</v>
      </c>
      <c r="AA36" s="15">
        <v>0.003861230211992028</v>
      </c>
      <c r="AB36" s="16">
        <v>0.00161188895399156</v>
      </c>
      <c r="AC36" s="16">
        <v>0.004100983388164356</v>
      </c>
      <c r="AD36" s="16">
        <v>0.002347139269408614</v>
      </c>
      <c r="AE36" s="16">
        <v>0.006205674238146892</v>
      </c>
      <c r="AG36" s="16">
        <v>0.95817</v>
      </c>
      <c r="AH36" s="16">
        <v>0.43425</v>
      </c>
      <c r="AI36" s="16">
        <v>0.95931</v>
      </c>
      <c r="AJ36" s="16">
        <v>0.95996</v>
      </c>
      <c r="AK36" s="16">
        <v>0.45485</v>
      </c>
      <c r="AL36" s="16">
        <v>0.92844</v>
      </c>
    </row>
    <row r="37">
      <c r="A37" s="14" t="s">
        <v>49</v>
      </c>
      <c r="B37" s="15">
        <v>0.0410235</v>
      </c>
      <c r="C37" s="16">
        <v>0.06198749999999999</v>
      </c>
      <c r="D37" s="16">
        <v>0.040282</v>
      </c>
      <c r="E37" s="16">
        <v>0.04891350000000001</v>
      </c>
      <c r="F37" s="16">
        <v>0.0712845</v>
      </c>
      <c r="G37" s="16">
        <v>0.041215</v>
      </c>
      <c r="H37" s="16">
        <v>0.06182</v>
      </c>
      <c r="I37" s="16">
        <v>0.040575</v>
      </c>
      <c r="J37" s="16">
        <v>0.049015</v>
      </c>
      <c r="K37" s="16">
        <v>0.071425</v>
      </c>
      <c r="L37" s="16">
        <v>0.002739431099699352</v>
      </c>
      <c r="M37" s="16">
        <v>0.00133302241166456</v>
      </c>
      <c r="N37" s="16">
        <v>0.003796396449266067</v>
      </c>
      <c r="O37" s="16">
        <v>0.001105220679321555</v>
      </c>
      <c r="P37" s="16">
        <v>0.004655698094808124</v>
      </c>
      <c r="Q37" s="16">
        <v>0.0344015</v>
      </c>
      <c r="R37" s="16">
        <v>0.0636185</v>
      </c>
      <c r="S37" s="16">
        <v>0.037804</v>
      </c>
      <c r="T37" s="16">
        <v>0.0471</v>
      </c>
      <c r="U37" s="16">
        <v>0.057044</v>
      </c>
      <c r="V37" s="16">
        <v>0.03445</v>
      </c>
      <c r="W37" s="16">
        <v>0.063775</v>
      </c>
      <c r="X37" s="16">
        <v>0.038615</v>
      </c>
      <c r="Y37" s="16">
        <v>0.04755</v>
      </c>
      <c r="Z37" s="16">
        <v>0.05621</v>
      </c>
      <c r="AA37" s="15">
        <v>0.003081420573371964</v>
      </c>
      <c r="AB37" s="16">
        <v>0.001635109400009675</v>
      </c>
      <c r="AC37" s="16">
        <v>0.004311576741750053</v>
      </c>
      <c r="AD37" s="16">
        <v>0.002299310766294978</v>
      </c>
      <c r="AE37" s="16">
        <v>0.004648679812591957</v>
      </c>
      <c r="AG37" s="16">
        <v>0.98733</v>
      </c>
      <c r="AH37" s="16">
        <v>0.55098</v>
      </c>
      <c r="AI37" s="16">
        <v>0.97999</v>
      </c>
      <c r="AJ37" s="16">
        <v>0.95178</v>
      </c>
      <c r="AK37" s="16">
        <v>0.41537</v>
      </c>
      <c r="AL37" s="16">
        <v>1.08728</v>
      </c>
    </row>
    <row r="38">
      <c r="A38" s="14" t="s">
        <v>50</v>
      </c>
      <c r="B38" s="15">
        <v>0.0374295</v>
      </c>
      <c r="C38" s="16">
        <v>0.070626</v>
      </c>
      <c r="D38" s="16">
        <v>0.0460185</v>
      </c>
      <c r="E38" s="16">
        <v>0.054187</v>
      </c>
      <c r="F38" s="16">
        <v>0.06617949999999999</v>
      </c>
      <c r="G38" s="16">
        <v>0.037915</v>
      </c>
      <c r="H38" s="16">
        <v>0.07073</v>
      </c>
      <c r="I38" s="16">
        <v>0.045945</v>
      </c>
      <c r="J38" s="16">
        <v>0.05389</v>
      </c>
      <c r="K38" s="16">
        <v>0.066345</v>
      </c>
      <c r="L38" s="16">
        <v>0.002366069472775471</v>
      </c>
      <c r="M38" s="16">
        <v>0.001301177927879199</v>
      </c>
      <c r="N38" s="16">
        <v>0.00625145045169519</v>
      </c>
      <c r="O38" s="16">
        <v>0.002036730468176877</v>
      </c>
      <c r="P38" s="16">
        <v>0.006483685275366163</v>
      </c>
      <c r="Q38" s="16">
        <v>0.0357455</v>
      </c>
      <c r="R38" s="16">
        <v>0.06735949999999999</v>
      </c>
      <c r="S38" s="16">
        <v>0.04293</v>
      </c>
      <c r="T38" s="16">
        <v>0.05039399999999999</v>
      </c>
      <c r="U38" s="16">
        <v>0.06505250000000001</v>
      </c>
      <c r="V38" s="16">
        <v>0.035745</v>
      </c>
      <c r="W38" s="16">
        <v>0.06773499999999999</v>
      </c>
      <c r="X38" s="16">
        <v>0.04239</v>
      </c>
      <c r="Y38" s="16">
        <v>0.050615</v>
      </c>
      <c r="Z38" s="16">
        <v>0.06373000000000001</v>
      </c>
      <c r="AA38" s="15">
        <v>0.002736345144531297</v>
      </c>
      <c r="AB38" s="16">
        <v>0.00158991973067825</v>
      </c>
      <c r="AC38" s="16">
        <v>0.004567296793509264</v>
      </c>
      <c r="AD38" s="16">
        <v>0.002759770642644059</v>
      </c>
      <c r="AE38" s="16">
        <v>0.005690064037425239</v>
      </c>
      <c r="AG38" s="16">
        <v>0.97211</v>
      </c>
      <c r="AH38" s="16">
        <v>0.43961</v>
      </c>
      <c r="AI38" s="16">
        <v>0.97482</v>
      </c>
      <c r="AJ38" s="16">
        <v>0.969</v>
      </c>
      <c r="AK38" s="16">
        <v>0.43817</v>
      </c>
      <c r="AL38" s="16">
        <v>0.94323</v>
      </c>
    </row>
    <row r="39">
      <c r="A39" s="14" t="s">
        <v>51</v>
      </c>
      <c r="B39" s="15">
        <v>0.0487255</v>
      </c>
      <c r="C39" s="16">
        <v>0.081474</v>
      </c>
      <c r="D39" s="16">
        <v>0.05385300000000001</v>
      </c>
      <c r="E39" s="16">
        <v>0.0628375</v>
      </c>
      <c r="F39" s="16">
        <v>0.066439</v>
      </c>
      <c r="G39" s="16">
        <v>0.049055</v>
      </c>
      <c r="H39" s="16">
        <v>0.081555</v>
      </c>
      <c r="I39" s="16">
        <v>0.053605</v>
      </c>
      <c r="J39" s="16">
        <v>0.06287</v>
      </c>
      <c r="K39" s="16">
        <v>0.06799</v>
      </c>
      <c r="L39" s="16">
        <v>0.002186813835240668</v>
      </c>
      <c r="M39" s="16">
        <v>0.001708588306175599</v>
      </c>
      <c r="N39" s="16">
        <v>0.005719757949424083</v>
      </c>
      <c r="O39" s="16">
        <v>0.002628955828841558</v>
      </c>
      <c r="P39" s="16">
        <v>0.006667722174776031</v>
      </c>
      <c r="Q39" s="16">
        <v>0.0376165</v>
      </c>
      <c r="R39" s="16">
        <v>0.07589599999999999</v>
      </c>
      <c r="S39" s="16">
        <v>0.0475075</v>
      </c>
      <c r="T39" s="16">
        <v>0.05802400000000001</v>
      </c>
      <c r="U39" s="16">
        <v>0.0655615</v>
      </c>
      <c r="V39" s="16">
        <v>0.037935</v>
      </c>
      <c r="W39" s="16">
        <v>0.075745</v>
      </c>
      <c r="X39" s="16">
        <v>0.045995</v>
      </c>
      <c r="Y39" s="16">
        <v>0.05813</v>
      </c>
      <c r="Z39" s="16">
        <v>0.06448999999999999</v>
      </c>
      <c r="AA39" s="15">
        <v>0.002734149364976245</v>
      </c>
      <c r="AB39" s="16">
        <v>0.002676354610286163</v>
      </c>
      <c r="AC39" s="16">
        <v>0.006229024702953103</v>
      </c>
      <c r="AD39" s="16">
        <v>0.002511042413022926</v>
      </c>
      <c r="AE39" s="16">
        <v>0.005786976131798022</v>
      </c>
      <c r="AG39" s="16">
        <v>0.98262</v>
      </c>
      <c r="AH39" s="16">
        <v>0.47112</v>
      </c>
      <c r="AI39" s="16">
        <v>0.97012</v>
      </c>
      <c r="AJ39" s="16">
        <v>0.96629</v>
      </c>
      <c r="AK39" s="16">
        <v>0.44223</v>
      </c>
      <c r="AL39" s="16">
        <v>0.92597</v>
      </c>
    </row>
    <row r="40">
      <c r="A40" s="14" t="s">
        <v>52</v>
      </c>
      <c r="B40" s="15">
        <v>0.05609699999999999</v>
      </c>
      <c r="C40" s="16">
        <v>0.0769995</v>
      </c>
      <c r="D40" s="16">
        <v>0.06209750000000001</v>
      </c>
      <c r="E40" s="16">
        <v>0.06549799999999999</v>
      </c>
      <c r="F40" s="16">
        <v>0.0633765</v>
      </c>
      <c r="G40" s="16">
        <v>0.056165</v>
      </c>
      <c r="H40" s="16">
        <v>0.076935</v>
      </c>
      <c r="I40" s="16">
        <v>0.062625</v>
      </c>
      <c r="J40" s="16">
        <v>0.065455</v>
      </c>
      <c r="K40" s="16">
        <v>0.065655</v>
      </c>
      <c r="L40" s="16">
        <v>0.001855411275162463</v>
      </c>
      <c r="M40" s="16">
        <v>0.001549185189059074</v>
      </c>
      <c r="N40" s="16">
        <v>0.003639198915970383</v>
      </c>
      <c r="O40" s="16">
        <v>0.002870102088776636</v>
      </c>
      <c r="P40" s="16">
        <v>0.007177197416122814</v>
      </c>
      <c r="Q40" s="16">
        <v>0.033023</v>
      </c>
      <c r="R40" s="16">
        <v>0.05900950000000001</v>
      </c>
      <c r="S40" s="16">
        <v>0.042889</v>
      </c>
      <c r="T40" s="16">
        <v>0.04602050000000001</v>
      </c>
      <c r="U40" s="16">
        <v>0.04915399999999999</v>
      </c>
      <c r="V40" s="16">
        <v>0.033385</v>
      </c>
      <c r="W40" s="16">
        <v>0.059645</v>
      </c>
      <c r="X40" s="16">
        <v>0.0424</v>
      </c>
      <c r="Y40" s="16">
        <v>0.04582</v>
      </c>
      <c r="Z40" s="16">
        <v>0.04937999999999999</v>
      </c>
      <c r="AA40" s="15">
        <v>0.003446482409646102</v>
      </c>
      <c r="AB40" s="16">
        <v>0.00131091752219581</v>
      </c>
      <c r="AC40" s="16">
        <v>0.004260734561082161</v>
      </c>
      <c r="AD40" s="16">
        <v>0.001830525812437508</v>
      </c>
      <c r="AE40" s="16">
        <v>0.002431882809676486</v>
      </c>
      <c r="AG40" s="16">
        <v>0.9981</v>
      </c>
      <c r="AH40" s="16">
        <v>0.4439</v>
      </c>
      <c r="AI40" s="16">
        <v>1.01664</v>
      </c>
      <c r="AJ40" s="16">
        <v>0.98098</v>
      </c>
      <c r="AK40" s="16">
        <v>0.44712</v>
      </c>
      <c r="AL40" s="16">
        <v>0.99878</v>
      </c>
    </row>
    <row r="41">
      <c r="A41" s="14" t="s">
        <v>54</v>
      </c>
      <c r="B41" s="15">
        <v>0.04849899999999999</v>
      </c>
      <c r="C41" s="16">
        <v>0.07219800000000001</v>
      </c>
      <c r="D41" s="16">
        <v>0.05714200000000001</v>
      </c>
      <c r="E41" s="16">
        <v>0.05994050000000001</v>
      </c>
      <c r="F41" s="16">
        <v>0.05480900000000001</v>
      </c>
      <c r="G41" s="16">
        <v>0.048865</v>
      </c>
      <c r="H41" s="16">
        <v>0.072465</v>
      </c>
      <c r="I41" s="16">
        <v>0.05739</v>
      </c>
      <c r="J41" s="16">
        <v>0.05994</v>
      </c>
      <c r="K41" s="16">
        <v>0.054725</v>
      </c>
      <c r="L41" s="16">
        <v>0.002850101577137208</v>
      </c>
      <c r="M41" s="16">
        <v>0.001092797327961594</v>
      </c>
      <c r="N41" s="16">
        <v>0.003331752691902567</v>
      </c>
      <c r="O41" s="16">
        <v>0.001918555381009368</v>
      </c>
      <c r="P41" s="16">
        <v>0.004060191990534438</v>
      </c>
      <c r="Q41" s="16">
        <v>0.0271105</v>
      </c>
      <c r="R41" s="16">
        <v>0.04454099999999999</v>
      </c>
      <c r="S41" s="16">
        <v>0.03266949999999999</v>
      </c>
      <c r="T41" s="16">
        <v>0.0352595</v>
      </c>
      <c r="U41" s="16">
        <v>0.04122199999999999</v>
      </c>
      <c r="V41" s="16">
        <v>0.027475</v>
      </c>
      <c r="W41" s="16">
        <v>0.044575</v>
      </c>
      <c r="X41" s="16">
        <v>0.033155</v>
      </c>
      <c r="Y41" s="16">
        <v>0.03523999999999999</v>
      </c>
      <c r="Z41" s="16">
        <v>0.0412</v>
      </c>
      <c r="AA41" s="15">
        <v>0.001750064213107622</v>
      </c>
      <c r="AB41" s="16">
        <v>8.6040048814491E-4</v>
      </c>
      <c r="AC41" s="16">
        <v>0.003137137987083131</v>
      </c>
      <c r="AD41" s="16">
        <v>0.001216957168514981</v>
      </c>
      <c r="AE41" s="16">
        <v>0.003274421475619777</v>
      </c>
      <c r="AG41" s="16">
        <v>1.0436</v>
      </c>
      <c r="AH41" s="16">
        <v>0.58725</v>
      </c>
      <c r="AI41" s="16">
        <v>1.06561</v>
      </c>
      <c r="AJ41" s="16">
        <v>0.98754</v>
      </c>
      <c r="AK41" s="16">
        <v>0.45666</v>
      </c>
      <c r="AL41" s="16">
        <v>1.00569</v>
      </c>
    </row>
    <row r="42">
      <c r="A42" s="14" t="s">
        <v>55</v>
      </c>
      <c r="B42" s="15">
        <v>0.042422</v>
      </c>
      <c r="C42" s="16">
        <v>0.067231</v>
      </c>
      <c r="D42" s="16">
        <v>0.047839</v>
      </c>
      <c r="E42" s="16">
        <v>0.05331549999999999</v>
      </c>
      <c r="F42" s="16">
        <v>0.055606</v>
      </c>
      <c r="G42" s="16">
        <v>0.04235999999999999</v>
      </c>
      <c r="H42" s="16">
        <v>0.06747500000000001</v>
      </c>
      <c r="I42" s="16">
        <v>0.04875</v>
      </c>
      <c r="J42" s="16">
        <v>0.05336</v>
      </c>
      <c r="K42" s="16">
        <v>0.055815</v>
      </c>
      <c r="L42" s="16">
        <v>0.002261589264212227</v>
      </c>
      <c r="M42" s="16">
        <v>0.001217143787726002</v>
      </c>
      <c r="N42" s="16">
        <v>0.003949063053434321</v>
      </c>
      <c r="O42" s="16">
        <v>0.00169546593890883</v>
      </c>
      <c r="P42" s="16">
        <v>0.003194522499529467</v>
      </c>
      <c r="Q42" s="16">
        <v>0.033294</v>
      </c>
      <c r="R42" s="16">
        <v>0.05621050000000001</v>
      </c>
      <c r="S42" s="16">
        <v>0.0388325</v>
      </c>
      <c r="T42" s="16">
        <v>0.045481</v>
      </c>
      <c r="U42" s="16">
        <v>0.046885</v>
      </c>
      <c r="V42" s="16">
        <v>0.03338</v>
      </c>
      <c r="W42" s="16">
        <v>0.05644</v>
      </c>
      <c r="X42" s="16">
        <v>0.03855</v>
      </c>
      <c r="Y42" s="16">
        <v>0.04553</v>
      </c>
      <c r="Z42" s="16">
        <v>0.04748</v>
      </c>
      <c r="AA42" s="15">
        <v>0.001648876587255698</v>
      </c>
      <c r="AB42" s="16">
        <v>8.51595414501511E-4</v>
      </c>
      <c r="AC42" s="16">
        <v>0.002198897166763375</v>
      </c>
      <c r="AD42" s="16">
        <v>0.002197641690540112</v>
      </c>
      <c r="AE42" s="16">
        <v>0.003783253229695311</v>
      </c>
      <c r="AG42" s="16">
        <v>1.02003</v>
      </c>
      <c r="AH42" s="16">
        <v>0.47971</v>
      </c>
      <c r="AI42" s="16">
        <v>1.03837</v>
      </c>
      <c r="AJ42" s="16">
        <v>0.96956</v>
      </c>
      <c r="AK42" s="16">
        <v>0.41993</v>
      </c>
      <c r="AL42" s="16">
        <v>0.98791</v>
      </c>
    </row>
    <row r="43">
      <c r="A43" s="14" t="s">
        <v>56</v>
      </c>
      <c r="B43" s="15">
        <v>0.0402675</v>
      </c>
      <c r="C43" s="16">
        <v>0.06458</v>
      </c>
      <c r="D43" s="16">
        <v>0.0452435</v>
      </c>
      <c r="E43" s="16">
        <v>0.051429</v>
      </c>
      <c r="F43" s="16">
        <v>0.06104749999999999</v>
      </c>
      <c r="G43" s="16">
        <v>0.04151000000000001</v>
      </c>
      <c r="H43" s="16">
        <v>0.064695</v>
      </c>
      <c r="I43" s="16">
        <v>0.045085</v>
      </c>
      <c r="J43" s="16">
        <v>0.051455</v>
      </c>
      <c r="K43" s="16">
        <v>0.060255</v>
      </c>
      <c r="L43" s="16">
        <v>0.004114978584391418</v>
      </c>
      <c r="M43" s="16">
        <v>0.001160486966751459</v>
      </c>
      <c r="N43" s="16">
        <v>0.003385515138055064</v>
      </c>
      <c r="O43" s="16">
        <v>0.002149650901890816</v>
      </c>
      <c r="P43" s="16">
        <v>0.004782387348385742</v>
      </c>
      <c r="Q43" s="16">
        <v>0.0303985</v>
      </c>
      <c r="R43" s="16">
        <v>0.05608400000000001</v>
      </c>
      <c r="S43" s="16">
        <v>0.0450825</v>
      </c>
      <c r="T43" s="16">
        <v>0.0472735</v>
      </c>
      <c r="U43" s="16">
        <v>0.050499</v>
      </c>
      <c r="V43" s="16">
        <v>0.03049</v>
      </c>
      <c r="W43" s="16">
        <v>0.056295</v>
      </c>
      <c r="X43" s="16">
        <v>0.04546</v>
      </c>
      <c r="Y43" s="16">
        <v>0.047185</v>
      </c>
      <c r="Z43" s="16">
        <v>0.04911</v>
      </c>
      <c r="AA43" s="15">
        <v>0.002235281358129218</v>
      </c>
      <c r="AB43" s="16">
        <v>0.001237050524433016</v>
      </c>
      <c r="AC43" s="16">
        <v>0.003145871699545294</v>
      </c>
      <c r="AD43" s="16">
        <v>0.001938471756307014</v>
      </c>
      <c r="AE43" s="16">
        <v>0.005811082429289745</v>
      </c>
      <c r="AG43" s="16">
        <v>1.0607</v>
      </c>
      <c r="AH43" s="16">
        <v>0.49719</v>
      </c>
      <c r="AI43" s="16">
        <v>1.08829</v>
      </c>
      <c r="AJ43" s="16">
        <v>0.96766</v>
      </c>
      <c r="AK43" s="16">
        <v>0.41481</v>
      </c>
      <c r="AL43" s="16">
        <v>0.98317</v>
      </c>
    </row>
    <row r="44">
      <c r="A44" s="14" t="s">
        <v>57</v>
      </c>
      <c r="B44" s="15">
        <v>0.0368815</v>
      </c>
      <c r="C44" s="16">
        <v>0.0612005</v>
      </c>
      <c r="D44" s="16">
        <v>0.045011</v>
      </c>
      <c r="E44" s="16">
        <v>0.04897199999999999</v>
      </c>
      <c r="F44" s="16">
        <v>0.05809350000000001</v>
      </c>
      <c r="G44" s="16">
        <v>0.03706</v>
      </c>
      <c r="H44" s="16">
        <v>0.061475</v>
      </c>
      <c r="I44" s="16">
        <v>0.045015</v>
      </c>
      <c r="J44" s="16">
        <v>0.04895</v>
      </c>
      <c r="K44" s="16">
        <v>0.057765</v>
      </c>
      <c r="L44" s="16">
        <v>0.003029176909657143</v>
      </c>
      <c r="M44" s="16">
        <v>0.001692050457285479</v>
      </c>
      <c r="N44" s="16">
        <v>0.002983095539871292</v>
      </c>
      <c r="O44" s="16">
        <v>0.002004957854918651</v>
      </c>
      <c r="P44" s="16">
        <v>0.006169831663019666</v>
      </c>
      <c r="Q44" s="16">
        <v>0.0260455</v>
      </c>
      <c r="R44" s="16">
        <v>0.047204</v>
      </c>
      <c r="S44" s="16">
        <v>0.0334665</v>
      </c>
      <c r="T44" s="16">
        <v>0.037742</v>
      </c>
      <c r="U44" s="16">
        <v>0.0458185</v>
      </c>
      <c r="V44" s="16">
        <v>0.02617</v>
      </c>
      <c r="W44" s="16">
        <v>0.04733</v>
      </c>
      <c r="X44" s="16">
        <v>0.03387999999999999</v>
      </c>
      <c r="Y44" s="16">
        <v>0.0374</v>
      </c>
      <c r="Z44" s="16">
        <v>0.045765</v>
      </c>
      <c r="AA44" s="15">
        <v>0.001689634501896786</v>
      </c>
      <c r="AB44" s="16">
        <v>0.001263330518906276</v>
      </c>
      <c r="AC44" s="16">
        <v>0.003757097649782343</v>
      </c>
      <c r="AD44" s="16">
        <v>0.002014695014139858</v>
      </c>
      <c r="AE44" s="16">
        <v>0.003026095297574087</v>
      </c>
      <c r="AG44" s="16">
        <v>1.03088</v>
      </c>
      <c r="AH44" s="16">
        <v>0.48456</v>
      </c>
      <c r="AI44" s="16">
        <v>1.04982</v>
      </c>
      <c r="AJ44" s="16">
        <v>0.99735</v>
      </c>
      <c r="AK44" s="16">
        <v>0.43271</v>
      </c>
      <c r="AL44" s="16">
        <v>1.02157</v>
      </c>
    </row>
    <row r="45">
      <c r="A45" s="14" t="s">
        <v>58</v>
      </c>
      <c r="B45" s="15">
        <v>0.0345035</v>
      </c>
      <c r="C45" s="16">
        <v>0.0489685</v>
      </c>
      <c r="D45" s="16">
        <v>0.03576700000000001</v>
      </c>
      <c r="E45" s="16">
        <v>0.0387815</v>
      </c>
      <c r="F45" s="16">
        <v>0.046098</v>
      </c>
      <c r="G45" s="16">
        <v>0.034395</v>
      </c>
      <c r="H45" s="16">
        <v>0.048875</v>
      </c>
      <c r="I45" s="16">
        <v>0.03637</v>
      </c>
      <c r="J45" s="16">
        <v>0.038995</v>
      </c>
      <c r="K45" s="16">
        <v>0.045045</v>
      </c>
      <c r="L45" s="16">
        <v>0.0019745360847551</v>
      </c>
      <c r="M45" s="16">
        <v>8.813925062082159E-4</v>
      </c>
      <c r="N45" s="16">
        <v>0.00344066432538834</v>
      </c>
      <c r="O45" s="16">
        <v>0.001636527650239983</v>
      </c>
      <c r="P45" s="16">
        <v>0.005667050908541409</v>
      </c>
      <c r="Q45" s="16">
        <v>0.03650750000000001</v>
      </c>
      <c r="R45" s="16">
        <v>0.05861200000000001</v>
      </c>
      <c r="S45" s="16">
        <v>0.04811</v>
      </c>
      <c r="T45" s="16">
        <v>0.0474145</v>
      </c>
      <c r="U45" s="16">
        <v>0.0518415</v>
      </c>
      <c r="V45" s="16">
        <v>0.03669500000000001</v>
      </c>
      <c r="W45" s="16">
        <v>0.05853</v>
      </c>
      <c r="X45" s="16">
        <v>0.047435</v>
      </c>
      <c r="Y45" s="16">
        <v>0.04748</v>
      </c>
      <c r="Z45" s="16">
        <v>0.050925</v>
      </c>
      <c r="AA45" s="15">
        <v>0.002159705709118721</v>
      </c>
      <c r="AB45" s="16">
        <v>0.001133484009591666</v>
      </c>
      <c r="AC45" s="16">
        <v>0.002787021707845133</v>
      </c>
      <c r="AD45" s="16">
        <v>0.001761693716285553</v>
      </c>
      <c r="AE45" s="16">
        <v>0.005255743786563421</v>
      </c>
      <c r="AG45" s="16">
        <v>1.04388</v>
      </c>
      <c r="AH45" s="16">
        <v>0.48448</v>
      </c>
      <c r="AI45" s="16">
        <v>1.06651</v>
      </c>
      <c r="AJ45" s="16">
        <v>1.01286</v>
      </c>
      <c r="AK45" s="16">
        <v>0.45721</v>
      </c>
      <c r="AL45" s="16">
        <v>1.02466</v>
      </c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</sheetData>
  <mergeCells count="11">
    <mergeCell ref="L2:P2"/>
    <mergeCell ref="Q2:U2"/>
    <mergeCell ref="V2:Z2"/>
    <mergeCell ref="AA2:AE2"/>
    <mergeCell ref="A1:A3"/>
    <mergeCell ref="B1:P1"/>
    <mergeCell ref="Q1:AE1"/>
    <mergeCell ref="AG1:AI1"/>
    <mergeCell ref="AJ1:AL1"/>
    <mergeCell ref="B2:F2"/>
    <mergeCell ref="G2:K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Q1" s="3" t="s">
        <v>2</v>
      </c>
      <c r="AF1" s="4"/>
      <c r="AG1" s="5" t="s">
        <v>3</v>
      </c>
      <c r="AH1" s="6"/>
      <c r="AI1" s="7"/>
      <c r="AJ1" s="5" t="s">
        <v>4</v>
      </c>
      <c r="AK1" s="6"/>
      <c r="AL1" s="7"/>
    </row>
    <row r="2">
      <c r="B2" s="8" t="s">
        <v>5</v>
      </c>
      <c r="G2" s="8" t="s">
        <v>6</v>
      </c>
      <c r="L2" s="8" t="s">
        <v>7</v>
      </c>
      <c r="Q2" s="3" t="s">
        <v>5</v>
      </c>
      <c r="V2" s="3" t="s">
        <v>6</v>
      </c>
      <c r="AA2" s="3" t="s">
        <v>7</v>
      </c>
      <c r="AF2" s="4"/>
      <c r="AG2" s="9" t="s">
        <v>8</v>
      </c>
      <c r="AH2" s="9" t="s">
        <v>9</v>
      </c>
      <c r="AI2" s="9" t="s">
        <v>10</v>
      </c>
      <c r="AJ2" s="9" t="s">
        <v>8</v>
      </c>
      <c r="AK2" s="9" t="s">
        <v>9</v>
      </c>
      <c r="AL2" s="9" t="s">
        <v>10</v>
      </c>
    </row>
    <row r="3"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1" t="s">
        <v>11</v>
      </c>
      <c r="R3" s="11" t="s">
        <v>12</v>
      </c>
      <c r="S3" s="11" t="s">
        <v>13</v>
      </c>
      <c r="T3" s="11" t="s">
        <v>14</v>
      </c>
      <c r="U3" s="11" t="s">
        <v>15</v>
      </c>
      <c r="V3" s="11" t="s">
        <v>11</v>
      </c>
      <c r="W3" s="11" t="s">
        <v>12</v>
      </c>
      <c r="X3" s="11" t="s">
        <v>13</v>
      </c>
      <c r="Y3" s="11" t="s">
        <v>14</v>
      </c>
      <c r="Z3" s="11" t="s">
        <v>15</v>
      </c>
      <c r="AA3" s="11" t="s">
        <v>11</v>
      </c>
      <c r="AB3" s="11" t="s">
        <v>12</v>
      </c>
      <c r="AC3" s="11" t="s">
        <v>13</v>
      </c>
      <c r="AD3" s="11" t="s">
        <v>14</v>
      </c>
      <c r="AE3" s="11" t="s">
        <v>15</v>
      </c>
      <c r="AF3" s="12"/>
      <c r="AG3" s="13"/>
      <c r="AH3" s="13"/>
      <c r="AI3" s="13"/>
      <c r="AJ3" s="13"/>
      <c r="AK3" s="13"/>
      <c r="AL3" s="13"/>
    </row>
    <row r="4">
      <c r="A4" s="14" t="s">
        <v>16</v>
      </c>
      <c r="B4" s="15">
        <v>0.0</v>
      </c>
      <c r="C4" s="16">
        <v>0.056987</v>
      </c>
      <c r="D4" s="16">
        <v>1.645E-4</v>
      </c>
      <c r="E4" s="16">
        <v>0.0</v>
      </c>
      <c r="F4" s="16">
        <v>0.023336</v>
      </c>
      <c r="G4" s="16">
        <v>0.0</v>
      </c>
      <c r="H4" s="16">
        <v>0.05042</v>
      </c>
      <c r="I4" s="16">
        <v>0.0</v>
      </c>
      <c r="J4" s="16">
        <v>0.0</v>
      </c>
      <c r="K4" s="16">
        <v>0.02355</v>
      </c>
      <c r="L4" s="16">
        <v>0.0</v>
      </c>
      <c r="M4" s="16">
        <v>0.03020976251147963</v>
      </c>
      <c r="N4" s="16">
        <v>2.732119140886795E-4</v>
      </c>
      <c r="O4" s="16">
        <v>0.0</v>
      </c>
      <c r="P4" s="16">
        <v>0.00901430551956167</v>
      </c>
      <c r="Q4" s="15">
        <v>0.02619</v>
      </c>
      <c r="R4" s="15">
        <v>0.041447</v>
      </c>
      <c r="S4" s="15">
        <v>0.02619</v>
      </c>
      <c r="T4" s="15">
        <v>0.02619</v>
      </c>
      <c r="U4" s="15">
        <v>0.0322585</v>
      </c>
      <c r="V4" s="15">
        <v>0.02619</v>
      </c>
      <c r="W4" s="15">
        <v>0.04377</v>
      </c>
      <c r="X4" s="15">
        <v>0.02619</v>
      </c>
      <c r="Y4" s="15">
        <v>0.02619</v>
      </c>
      <c r="Z4" s="15">
        <v>0.02827</v>
      </c>
      <c r="AA4" s="15">
        <v>0.0</v>
      </c>
      <c r="AB4" s="16">
        <v>0.004264401599286823</v>
      </c>
      <c r="AC4" s="16">
        <v>0.0</v>
      </c>
      <c r="AD4" s="16">
        <v>0.0</v>
      </c>
      <c r="AE4" s="16">
        <v>0.007120908842977841</v>
      </c>
      <c r="AG4" s="16">
        <v>0.81946</v>
      </c>
      <c r="AH4" s="16">
        <v>0.81946</v>
      </c>
      <c r="AI4" s="16">
        <v>0.17504</v>
      </c>
      <c r="AJ4" s="16">
        <v>0.50124</v>
      </c>
      <c r="AK4" s="16">
        <v>0.37003</v>
      </c>
      <c r="AL4" s="16">
        <v>0.20795</v>
      </c>
    </row>
    <row r="5">
      <c r="A5" s="14" t="s">
        <v>17</v>
      </c>
      <c r="B5" s="15">
        <v>0.008459999999999999</v>
      </c>
      <c r="C5" s="16">
        <v>0.0426445</v>
      </c>
      <c r="D5" s="16">
        <v>0.009682</v>
      </c>
      <c r="E5" s="16">
        <v>0.008459999999999999</v>
      </c>
      <c r="F5" s="16">
        <v>0.023404</v>
      </c>
      <c r="G5" s="16">
        <v>0.00846</v>
      </c>
      <c r="H5" s="16">
        <v>0.039965</v>
      </c>
      <c r="I5" s="16">
        <v>0.00846</v>
      </c>
      <c r="J5" s="16">
        <v>0.00846</v>
      </c>
      <c r="K5" s="16">
        <v>0.02096</v>
      </c>
      <c r="L5" s="16">
        <v>1.734723475976807E-18</v>
      </c>
      <c r="M5" s="16">
        <v>0.009667218046056478</v>
      </c>
      <c r="N5" s="16">
        <v>0.002444</v>
      </c>
      <c r="O5" s="16">
        <v>1.734723475976807E-18</v>
      </c>
      <c r="P5" s="16">
        <v>0.0103380411103845</v>
      </c>
      <c r="Q5" s="15">
        <v>0.0</v>
      </c>
      <c r="R5" s="15">
        <v>0.03090300000000001</v>
      </c>
      <c r="S5" s="15">
        <v>0.0</v>
      </c>
      <c r="T5" s="15">
        <v>0.0</v>
      </c>
      <c r="U5" s="15">
        <v>0.02135</v>
      </c>
      <c r="V5" s="15">
        <v>0.0</v>
      </c>
      <c r="W5" s="15">
        <v>0.0219</v>
      </c>
      <c r="X5" s="15">
        <v>0.0</v>
      </c>
      <c r="Y5" s="15">
        <v>0.0</v>
      </c>
      <c r="Z5" s="15">
        <v>0.021125</v>
      </c>
      <c r="AA5" s="15">
        <v>0.0</v>
      </c>
      <c r="AB5" s="16">
        <v>0.01765129261555652</v>
      </c>
      <c r="AC5" s="16">
        <v>0.0</v>
      </c>
      <c r="AD5" s="16">
        <v>0.0</v>
      </c>
      <c r="AE5" s="16">
        <v>0.01045896409784449</v>
      </c>
      <c r="AG5" s="16">
        <v>0.79308</v>
      </c>
      <c r="AH5" s="16">
        <v>0.67405</v>
      </c>
      <c r="AI5" s="16">
        <v>0.13192</v>
      </c>
      <c r="AJ5" s="16">
        <v>0.65951</v>
      </c>
      <c r="AK5" s="16">
        <v>0.50651</v>
      </c>
      <c r="AL5" s="16">
        <v>0.16076</v>
      </c>
    </row>
    <row r="6">
      <c r="A6" s="14" t="s">
        <v>18</v>
      </c>
      <c r="B6" s="15">
        <v>0.0</v>
      </c>
      <c r="C6" s="16">
        <v>0.06488350000000001</v>
      </c>
      <c r="D6" s="16">
        <v>2.635E-4</v>
      </c>
      <c r="E6" s="16">
        <v>0.0</v>
      </c>
      <c r="F6" s="16">
        <v>0.012543</v>
      </c>
      <c r="G6" s="16">
        <v>0.0</v>
      </c>
      <c r="H6" s="16">
        <v>0.04481</v>
      </c>
      <c r="I6" s="16">
        <v>0.0</v>
      </c>
      <c r="J6" s="16">
        <v>0.0</v>
      </c>
      <c r="K6" s="16">
        <v>0.01081</v>
      </c>
      <c r="L6" s="16">
        <v>0.0</v>
      </c>
      <c r="M6" s="16">
        <v>0.03740176149260888</v>
      </c>
      <c r="N6" s="16">
        <v>5.428929452479559E-4</v>
      </c>
      <c r="O6" s="16">
        <v>0.0</v>
      </c>
      <c r="P6" s="16">
        <v>0.007190601574277357</v>
      </c>
      <c r="Q6" s="15">
        <v>0.0</v>
      </c>
      <c r="R6" s="15">
        <v>0.0374775</v>
      </c>
      <c r="S6" s="15">
        <v>2.15E-5</v>
      </c>
      <c r="T6" s="15">
        <v>0.0</v>
      </c>
      <c r="U6" s="15">
        <v>0.021849</v>
      </c>
      <c r="V6" s="15">
        <v>0.0</v>
      </c>
      <c r="W6" s="15">
        <v>0.02721</v>
      </c>
      <c r="X6" s="15">
        <v>0.0</v>
      </c>
      <c r="Y6" s="15">
        <v>0.0</v>
      </c>
      <c r="Z6" s="15">
        <v>0.01711</v>
      </c>
      <c r="AA6" s="15">
        <v>0.0</v>
      </c>
      <c r="AB6" s="16">
        <v>0.01995201540571779</v>
      </c>
      <c r="AC6" s="16">
        <v>9.37163272861245E-5</v>
      </c>
      <c r="AD6" s="16">
        <v>0.0</v>
      </c>
      <c r="AE6" s="16">
        <v>0.01707079872179389</v>
      </c>
      <c r="AG6" s="16">
        <v>0.68186</v>
      </c>
      <c r="AH6" s="16">
        <v>0.48845</v>
      </c>
      <c r="AI6" s="16">
        <v>0.13963</v>
      </c>
      <c r="AJ6" s="16">
        <v>0.48794</v>
      </c>
      <c r="AK6" s="16">
        <v>0.48794</v>
      </c>
      <c r="AL6" s="16">
        <v>0.19734</v>
      </c>
    </row>
    <row r="7">
      <c r="A7" s="14" t="s">
        <v>19</v>
      </c>
      <c r="B7" s="15">
        <v>0.00279</v>
      </c>
      <c r="C7" s="16">
        <v>0.034444</v>
      </c>
      <c r="D7" s="16">
        <v>0.002973</v>
      </c>
      <c r="E7" s="16">
        <v>0.00279</v>
      </c>
      <c r="F7" s="16">
        <v>0.023578</v>
      </c>
      <c r="G7" s="16">
        <v>0.00279</v>
      </c>
      <c r="H7" s="16">
        <v>0.035945</v>
      </c>
      <c r="I7" s="16">
        <v>0.00279</v>
      </c>
      <c r="J7" s="16">
        <v>0.00279</v>
      </c>
      <c r="K7" s="16">
        <v>0.02147</v>
      </c>
      <c r="L7" s="16">
        <v>0.0</v>
      </c>
      <c r="M7" s="16">
        <v>0.01211277400102883</v>
      </c>
      <c r="N7" s="16">
        <v>5.49E-4</v>
      </c>
      <c r="O7" s="16">
        <v>0.0</v>
      </c>
      <c r="P7" s="16">
        <v>0.008810008853571034</v>
      </c>
      <c r="Q7" s="15">
        <v>0.009369999999999998</v>
      </c>
      <c r="R7" s="15">
        <v>0.06090200000000001</v>
      </c>
      <c r="S7" s="15">
        <v>0.009369999999999998</v>
      </c>
      <c r="T7" s="15">
        <v>0.009369999999999998</v>
      </c>
      <c r="U7" s="15">
        <v>0.03944</v>
      </c>
      <c r="V7" s="15">
        <v>0.00937</v>
      </c>
      <c r="W7" s="15">
        <v>0.05703</v>
      </c>
      <c r="X7" s="15">
        <v>0.00937</v>
      </c>
      <c r="Y7" s="15">
        <v>0.00937</v>
      </c>
      <c r="Z7" s="15">
        <v>0.03861</v>
      </c>
      <c r="AA7" s="15">
        <v>1.734723475976807E-18</v>
      </c>
      <c r="AB7" s="16">
        <v>0.02227622512904734</v>
      </c>
      <c r="AC7" s="16">
        <v>1.734723475976807E-18</v>
      </c>
      <c r="AD7" s="16">
        <v>1.734723475976807E-18</v>
      </c>
      <c r="AE7" s="16">
        <v>0.01388884012435884</v>
      </c>
      <c r="AG7" s="16">
        <v>0.74403</v>
      </c>
      <c r="AH7" s="16">
        <v>0.58035</v>
      </c>
      <c r="AI7" s="16">
        <v>0.18411</v>
      </c>
      <c r="AJ7" s="16">
        <v>0.68897</v>
      </c>
      <c r="AK7" s="16">
        <v>0.5464</v>
      </c>
      <c r="AL7" s="16">
        <v>0.23689</v>
      </c>
    </row>
    <row r="8">
      <c r="A8" s="14" t="s">
        <v>20</v>
      </c>
      <c r="B8" s="15">
        <v>0.0</v>
      </c>
      <c r="C8" s="16">
        <v>0.08153750000000001</v>
      </c>
      <c r="D8" s="16">
        <v>0.002995</v>
      </c>
      <c r="E8" s="16">
        <v>0.0</v>
      </c>
      <c r="F8" s="16">
        <v>0.03095</v>
      </c>
      <c r="G8" s="16">
        <v>0.0</v>
      </c>
      <c r="H8" s="16">
        <v>0.08457</v>
      </c>
      <c r="I8" s="16">
        <v>0.002995</v>
      </c>
      <c r="J8" s="16">
        <v>0.0</v>
      </c>
      <c r="K8" s="16">
        <v>0.019965</v>
      </c>
      <c r="L8" s="16">
        <v>0.0</v>
      </c>
      <c r="M8" s="16">
        <v>0.02113143887079155</v>
      </c>
      <c r="N8" s="16">
        <v>0.002995</v>
      </c>
      <c r="O8" s="16">
        <v>0.0</v>
      </c>
      <c r="P8" s="16">
        <v>0.02140585504015198</v>
      </c>
      <c r="Q8" s="15">
        <v>0.0</v>
      </c>
      <c r="R8" s="15">
        <v>0.028927</v>
      </c>
      <c r="S8" s="15">
        <v>5.185000000000001E-4</v>
      </c>
      <c r="T8" s="15">
        <v>0.0</v>
      </c>
      <c r="U8" s="15">
        <v>0.0274625</v>
      </c>
      <c r="V8" s="15">
        <v>0.0</v>
      </c>
      <c r="W8" s="15">
        <v>0.020845</v>
      </c>
      <c r="X8" s="15">
        <v>0.0</v>
      </c>
      <c r="Y8" s="15">
        <v>0.0</v>
      </c>
      <c r="Z8" s="15">
        <v>0.02336</v>
      </c>
      <c r="AA8" s="15">
        <v>0.0</v>
      </c>
      <c r="AB8" s="16">
        <v>0.02040669720949473</v>
      </c>
      <c r="AC8" s="16">
        <v>0.001066584619240312</v>
      </c>
      <c r="AD8" s="16">
        <v>0.0</v>
      </c>
      <c r="AE8" s="16">
        <v>0.01667453983622937</v>
      </c>
      <c r="AG8" s="16">
        <v>0.59055</v>
      </c>
      <c r="AH8" s="16">
        <v>0.53127</v>
      </c>
      <c r="AI8" s="16">
        <v>0.1601</v>
      </c>
      <c r="AJ8" s="16">
        <v>0.55994</v>
      </c>
      <c r="AK8" s="16">
        <v>0.37834</v>
      </c>
      <c r="AL8" s="16">
        <v>0.31972</v>
      </c>
    </row>
    <row r="9">
      <c r="A9" s="14" t="s">
        <v>21</v>
      </c>
      <c r="B9" s="15">
        <v>0.00254</v>
      </c>
      <c r="C9" s="16">
        <v>0.0255165</v>
      </c>
      <c r="D9" s="16">
        <v>0.002585</v>
      </c>
      <c r="E9" s="16">
        <v>0.00254</v>
      </c>
      <c r="F9" s="16">
        <v>0.0162925</v>
      </c>
      <c r="G9" s="16">
        <v>0.00254</v>
      </c>
      <c r="H9" s="16">
        <v>0.026435</v>
      </c>
      <c r="I9" s="16">
        <v>0.00254</v>
      </c>
      <c r="J9" s="16">
        <v>0.00254</v>
      </c>
      <c r="K9" s="16">
        <v>0.01434</v>
      </c>
      <c r="L9" s="16">
        <v>0.0</v>
      </c>
      <c r="M9" s="16">
        <v>0.00973172660682574</v>
      </c>
      <c r="N9" s="16">
        <v>4.974937185533091E-5</v>
      </c>
      <c r="O9" s="16">
        <v>0.0</v>
      </c>
      <c r="P9" s="16">
        <v>0.007151890571729967</v>
      </c>
      <c r="Q9" s="15">
        <v>0.009580000000000002</v>
      </c>
      <c r="R9" s="15">
        <v>0.0531145</v>
      </c>
      <c r="S9" s="15">
        <v>0.011819</v>
      </c>
      <c r="T9" s="15">
        <v>0.009580000000000002</v>
      </c>
      <c r="U9" s="15">
        <v>0.0319325</v>
      </c>
      <c r="V9" s="15">
        <v>0.00958</v>
      </c>
      <c r="W9" s="15">
        <v>0.05047</v>
      </c>
      <c r="X9" s="15">
        <v>0.01027</v>
      </c>
      <c r="Y9" s="15">
        <v>0.00958</v>
      </c>
      <c r="Z9" s="15">
        <v>0.03237</v>
      </c>
      <c r="AA9" s="15">
        <v>1.734723475976807E-18</v>
      </c>
      <c r="AB9" s="16">
        <v>0.01656013269119544</v>
      </c>
      <c r="AC9" s="16">
        <v>0.007471569379989723</v>
      </c>
      <c r="AD9" s="16">
        <v>1.734723475976807E-18</v>
      </c>
      <c r="AE9" s="16">
        <v>0.0114666010111977</v>
      </c>
      <c r="AG9" s="16">
        <v>0.68477</v>
      </c>
      <c r="AH9" s="16">
        <v>0.61039</v>
      </c>
      <c r="AI9" s="16">
        <v>0.21372</v>
      </c>
      <c r="AJ9" s="16">
        <v>0.63302</v>
      </c>
      <c r="AK9" s="16">
        <v>0.48878</v>
      </c>
      <c r="AL9" s="16">
        <v>0.1553</v>
      </c>
    </row>
    <row r="10">
      <c r="A10" s="14" t="s">
        <v>22</v>
      </c>
      <c r="B10" s="15">
        <v>0.014417</v>
      </c>
      <c r="C10" s="16">
        <v>0.043083</v>
      </c>
      <c r="D10" s="16">
        <v>0.027572</v>
      </c>
      <c r="E10" s="16">
        <v>0.0289035</v>
      </c>
      <c r="F10" s="16">
        <v>0.08902050000000003</v>
      </c>
      <c r="G10" s="16">
        <v>0.01451</v>
      </c>
      <c r="H10" s="16">
        <v>0.04262000000000001</v>
      </c>
      <c r="I10" s="16">
        <v>0.02787</v>
      </c>
      <c r="J10" s="16">
        <v>0.02841</v>
      </c>
      <c r="K10" s="16">
        <v>0.082815</v>
      </c>
      <c r="L10" s="16">
        <v>0.001053228845028468</v>
      </c>
      <c r="M10" s="16">
        <v>0.002003297531571384</v>
      </c>
      <c r="N10" s="16">
        <v>0.00282844763076851</v>
      </c>
      <c r="O10" s="16">
        <v>0.002631617895895983</v>
      </c>
      <c r="P10" s="16">
        <v>0.01654083567266176</v>
      </c>
      <c r="Q10" s="15">
        <v>0.0223145</v>
      </c>
      <c r="R10" s="15">
        <v>0.0657435</v>
      </c>
      <c r="S10" s="15">
        <v>0.04608950000000001</v>
      </c>
      <c r="T10" s="15">
        <v>0.0356165</v>
      </c>
      <c r="U10" s="15">
        <v>0.114754</v>
      </c>
      <c r="V10" s="15">
        <v>0.02182</v>
      </c>
      <c r="W10" s="15">
        <v>0.065775</v>
      </c>
      <c r="X10" s="15">
        <v>0.049975</v>
      </c>
      <c r="Y10" s="15">
        <v>0.0353</v>
      </c>
      <c r="Z10" s="15">
        <v>0.11366</v>
      </c>
      <c r="AA10" s="15">
        <v>0.002620285242106287</v>
      </c>
      <c r="AB10" s="16">
        <v>0.003585125207018577</v>
      </c>
      <c r="AC10" s="16">
        <v>0.01119289796031394</v>
      </c>
      <c r="AD10" s="16">
        <v>0.003243000578168311</v>
      </c>
      <c r="AE10" s="16">
        <v>0.02345635210342819</v>
      </c>
      <c r="AG10" s="16">
        <v>0.3948</v>
      </c>
      <c r="AH10" s="16">
        <v>0.32588</v>
      </c>
      <c r="AI10" s="16">
        <v>0.19853</v>
      </c>
      <c r="AJ10" s="16">
        <v>0.50264</v>
      </c>
      <c r="AK10" s="16">
        <v>0.36153</v>
      </c>
      <c r="AL10" s="16">
        <v>0.18157</v>
      </c>
    </row>
    <row r="11">
      <c r="A11" s="14" t="s">
        <v>23</v>
      </c>
      <c r="B11" s="15">
        <v>0.023315</v>
      </c>
      <c r="C11" s="16">
        <v>0.042765</v>
      </c>
      <c r="D11" s="16">
        <v>0.03183</v>
      </c>
      <c r="E11" s="16">
        <v>0.0321485</v>
      </c>
      <c r="F11" s="16">
        <v>0.09398600000000001</v>
      </c>
      <c r="G11" s="16">
        <v>0.02275</v>
      </c>
      <c r="H11" s="16">
        <v>0.041795</v>
      </c>
      <c r="I11" s="16">
        <v>0.031985</v>
      </c>
      <c r="J11" s="16">
        <v>0.03212</v>
      </c>
      <c r="K11" s="16">
        <v>0.091585</v>
      </c>
      <c r="L11" s="16">
        <v>0.003353114224120616</v>
      </c>
      <c r="M11" s="16">
        <v>0.002936485143841187</v>
      </c>
      <c r="N11" s="16">
        <v>0.004193585577998856</v>
      </c>
      <c r="O11" s="16">
        <v>0.002568797919261069</v>
      </c>
      <c r="P11" s="16">
        <v>0.01299845660068918</v>
      </c>
      <c r="Q11" s="15">
        <v>0.0449095</v>
      </c>
      <c r="R11" s="15">
        <v>0.0383775</v>
      </c>
      <c r="S11" s="15">
        <v>0.03529800000000001</v>
      </c>
      <c r="T11" s="15">
        <v>0.027104</v>
      </c>
      <c r="U11" s="15">
        <v>0.0804685</v>
      </c>
      <c r="V11" s="15">
        <v>0.04424</v>
      </c>
      <c r="W11" s="15">
        <v>0.03891</v>
      </c>
      <c r="X11" s="15">
        <v>0.03549</v>
      </c>
      <c r="Y11" s="15">
        <v>0.026975</v>
      </c>
      <c r="Z11" s="15">
        <v>0.07879</v>
      </c>
      <c r="AA11" s="15">
        <v>0.00166752953497082</v>
      </c>
      <c r="AB11" s="16">
        <v>0.002350691121776743</v>
      </c>
      <c r="AC11" s="16">
        <v>0.006372095102868442</v>
      </c>
      <c r="AD11" s="16">
        <v>0.001907446984846499</v>
      </c>
      <c r="AE11" s="16">
        <v>0.01207034062278277</v>
      </c>
      <c r="AG11" s="16">
        <v>0.67113</v>
      </c>
      <c r="AH11" s="16">
        <v>0.51549</v>
      </c>
      <c r="AI11" s="16">
        <v>0.14782</v>
      </c>
      <c r="AJ11" s="16">
        <v>0.52766</v>
      </c>
      <c r="AK11" s="16">
        <v>0.43312</v>
      </c>
      <c r="AL11" s="16">
        <v>0.13707</v>
      </c>
    </row>
    <row r="12">
      <c r="A12" s="14" t="s">
        <v>24</v>
      </c>
      <c r="B12" s="15">
        <v>0.0077895</v>
      </c>
      <c r="C12" s="16">
        <v>0.029692</v>
      </c>
      <c r="D12" s="16">
        <v>0.0173375</v>
      </c>
      <c r="E12" s="16">
        <v>0.017185</v>
      </c>
      <c r="F12" s="16">
        <v>0.07972050000000001</v>
      </c>
      <c r="G12" s="16">
        <v>0.007745</v>
      </c>
      <c r="H12" s="16">
        <v>0.02958</v>
      </c>
      <c r="I12" s="16">
        <v>0.016005</v>
      </c>
      <c r="J12" s="16">
        <v>0.016725</v>
      </c>
      <c r="K12" s="16">
        <v>0.080525</v>
      </c>
      <c r="L12" s="16">
        <v>5.669609774931606E-4</v>
      </c>
      <c r="M12" s="16">
        <v>0.001287604753020118</v>
      </c>
      <c r="N12" s="16">
        <v>0.003976720853919722</v>
      </c>
      <c r="O12" s="16">
        <v>0.001696421233066835</v>
      </c>
      <c r="P12" s="16">
        <v>0.01125326551495165</v>
      </c>
      <c r="Q12" s="15">
        <v>0.03906349999999999</v>
      </c>
      <c r="R12" s="15">
        <v>0.05104449999999999</v>
      </c>
      <c r="S12" s="15">
        <v>0.0353555</v>
      </c>
      <c r="T12" s="15">
        <v>0.0348015</v>
      </c>
      <c r="U12" s="15">
        <v>0.09651</v>
      </c>
      <c r="V12" s="15">
        <v>0.036275</v>
      </c>
      <c r="W12" s="15">
        <v>0.05105</v>
      </c>
      <c r="X12" s="15">
        <v>0.037695</v>
      </c>
      <c r="Y12" s="15">
        <v>0.03424000000000001</v>
      </c>
      <c r="Z12" s="15">
        <v>0.09462000000000001</v>
      </c>
      <c r="AA12" s="15">
        <v>0.007196504898212742</v>
      </c>
      <c r="AB12" s="16">
        <v>0.004421079591004895</v>
      </c>
      <c r="AC12" s="16">
        <v>0.007079387314591568</v>
      </c>
      <c r="AD12" s="16">
        <v>0.005013986712188217</v>
      </c>
      <c r="AE12" s="16">
        <v>0.01767952827424985</v>
      </c>
      <c r="AG12" s="16">
        <v>0.55996</v>
      </c>
      <c r="AH12" s="16">
        <v>0.42188</v>
      </c>
      <c r="AI12" s="16">
        <v>0.14758</v>
      </c>
      <c r="AJ12" s="16">
        <v>0.48854</v>
      </c>
      <c r="AK12" s="16">
        <v>0.32381</v>
      </c>
      <c r="AL12" s="16">
        <v>0.16344</v>
      </c>
    </row>
    <row r="13">
      <c r="A13" s="14" t="s">
        <v>25</v>
      </c>
      <c r="B13" s="15">
        <v>0.03624899999999999</v>
      </c>
      <c r="C13" s="16">
        <v>0.03402699999999999</v>
      </c>
      <c r="D13" s="16">
        <v>0.021523</v>
      </c>
      <c r="E13" s="16">
        <v>0.0227475</v>
      </c>
      <c r="F13" s="16">
        <v>0.09267600000000001</v>
      </c>
      <c r="G13" s="16">
        <v>0.03652</v>
      </c>
      <c r="H13" s="16">
        <v>0.03407499999999999</v>
      </c>
      <c r="I13" s="16">
        <v>0.020455</v>
      </c>
      <c r="J13" s="16">
        <v>0.022435</v>
      </c>
      <c r="K13" s="16">
        <v>0.08873</v>
      </c>
      <c r="L13" s="16">
        <v>0.002063581595188326</v>
      </c>
      <c r="M13" s="16">
        <v>0.001912603199830011</v>
      </c>
      <c r="N13" s="16">
        <v>0.003533986559114225</v>
      </c>
      <c r="O13" s="16">
        <v>0.002693232026766354</v>
      </c>
      <c r="P13" s="16">
        <v>0.01837909448259081</v>
      </c>
      <c r="Q13" s="15">
        <v>0.07231900000000002</v>
      </c>
      <c r="R13" s="15">
        <v>0.036149</v>
      </c>
      <c r="S13" s="15">
        <v>0.028361</v>
      </c>
      <c r="T13" s="15">
        <v>0.0253025</v>
      </c>
      <c r="U13" s="15">
        <v>0.095866</v>
      </c>
      <c r="V13" s="15">
        <v>0.071545</v>
      </c>
      <c r="W13" s="15">
        <v>0.03629</v>
      </c>
      <c r="X13" s="15">
        <v>0.028635</v>
      </c>
      <c r="Y13" s="15">
        <v>0.02377</v>
      </c>
      <c r="Z13" s="15">
        <v>0.093615</v>
      </c>
      <c r="AA13" s="15">
        <v>0.002404880246498773</v>
      </c>
      <c r="AB13" s="16">
        <v>0.002753187062297076</v>
      </c>
      <c r="AC13" s="16">
        <v>0.004042295016447958</v>
      </c>
      <c r="AD13" s="16">
        <v>0.004764489348293267</v>
      </c>
      <c r="AE13" s="16">
        <v>0.01956801941945071</v>
      </c>
      <c r="AG13" s="16">
        <v>0.76304</v>
      </c>
      <c r="AH13" s="16">
        <v>0.6001</v>
      </c>
      <c r="AI13" s="16">
        <v>0.16259</v>
      </c>
      <c r="AJ13" s="16">
        <v>0.72186</v>
      </c>
      <c r="AK13" s="16">
        <v>0.50568</v>
      </c>
      <c r="AL13" s="16">
        <v>0.17032</v>
      </c>
    </row>
    <row r="14">
      <c r="A14" s="14" t="s">
        <v>26</v>
      </c>
      <c r="B14" s="15">
        <v>0.03668899999999999</v>
      </c>
      <c r="C14" s="16">
        <v>0.03770250000000001</v>
      </c>
      <c r="D14" s="16">
        <v>0.02532350000000001</v>
      </c>
      <c r="E14" s="16">
        <v>0.022677</v>
      </c>
      <c r="F14" s="16">
        <v>0.084109</v>
      </c>
      <c r="G14" s="16">
        <v>0.03673999999999999</v>
      </c>
      <c r="H14" s="16">
        <v>0.037635</v>
      </c>
      <c r="I14" s="16">
        <v>0.025775</v>
      </c>
      <c r="J14" s="16">
        <v>0.02261</v>
      </c>
      <c r="K14" s="16">
        <v>0.07999999999999999</v>
      </c>
      <c r="L14" s="16">
        <v>9.750635876700552E-4</v>
      </c>
      <c r="M14" s="16">
        <v>0.00147497076242209</v>
      </c>
      <c r="N14" s="16">
        <v>0.004050631154523946</v>
      </c>
      <c r="O14" s="16">
        <v>0.002011295850937897</v>
      </c>
      <c r="P14" s="16">
        <v>0.01759864025997463</v>
      </c>
      <c r="Q14" s="15">
        <v>0.06722</v>
      </c>
      <c r="R14" s="15">
        <v>0.05862700000000001</v>
      </c>
      <c r="S14" s="15">
        <v>0.0372775</v>
      </c>
      <c r="T14" s="15">
        <v>0.0360535</v>
      </c>
      <c r="U14" s="15">
        <v>0.08946849999999999</v>
      </c>
      <c r="V14" s="15">
        <v>0.066815</v>
      </c>
      <c r="W14" s="15">
        <v>0.059865</v>
      </c>
      <c r="X14" s="15">
        <v>0.04208000000000001</v>
      </c>
      <c r="Y14" s="15">
        <v>0.03673</v>
      </c>
      <c r="Z14" s="15">
        <v>0.085785</v>
      </c>
      <c r="AA14" s="15">
        <v>0.002895363535033208</v>
      </c>
      <c r="AB14" s="16">
        <v>0.005088208034269038</v>
      </c>
      <c r="AC14" s="16">
        <v>0.01071781688358221</v>
      </c>
      <c r="AD14" s="16">
        <v>0.004683326034988382</v>
      </c>
      <c r="AE14" s="16">
        <v>0.01929713275981693</v>
      </c>
      <c r="AG14" s="16">
        <v>0.52805</v>
      </c>
      <c r="AH14" s="16">
        <v>0.39551</v>
      </c>
      <c r="AI14" s="16">
        <v>0.17989</v>
      </c>
      <c r="AJ14" s="16">
        <v>0.49479</v>
      </c>
      <c r="AK14" s="16">
        <v>0.40963</v>
      </c>
      <c r="AL14" s="16">
        <v>0.1858</v>
      </c>
    </row>
    <row r="15">
      <c r="A15" s="14" t="s">
        <v>27</v>
      </c>
      <c r="B15" s="15">
        <v>0.0454975</v>
      </c>
      <c r="C15" s="16">
        <v>0.034019</v>
      </c>
      <c r="D15" s="16">
        <v>0.023517</v>
      </c>
      <c r="E15" s="16">
        <v>0.0199785</v>
      </c>
      <c r="F15" s="16">
        <v>0.0755445</v>
      </c>
      <c r="G15" s="16">
        <v>0.04586</v>
      </c>
      <c r="H15" s="16">
        <v>0.03323</v>
      </c>
      <c r="I15" s="16">
        <v>0.022825</v>
      </c>
      <c r="J15" s="16">
        <v>0.020295</v>
      </c>
      <c r="K15" s="16">
        <v>0.07373</v>
      </c>
      <c r="L15" s="16">
        <v>0.002316076153756607</v>
      </c>
      <c r="M15" s="16">
        <v>0.004123670573651586</v>
      </c>
      <c r="N15" s="16">
        <v>0.003893633393117539</v>
      </c>
      <c r="O15" s="16">
        <v>0.002313346655821388</v>
      </c>
      <c r="P15" s="16">
        <v>0.01493708052967513</v>
      </c>
      <c r="Q15" s="15">
        <v>0.05931450000000001</v>
      </c>
      <c r="R15" s="15">
        <v>0.03489800000000001</v>
      </c>
      <c r="S15" s="15">
        <v>0.016546</v>
      </c>
      <c r="T15" s="15">
        <v>0.02078</v>
      </c>
      <c r="U15" s="15">
        <v>0.07336000000000001</v>
      </c>
      <c r="V15" s="15">
        <v>0.058905</v>
      </c>
      <c r="W15" s="15">
        <v>0.03512</v>
      </c>
      <c r="X15" s="15">
        <v>0.01628</v>
      </c>
      <c r="Y15" s="15">
        <v>0.01968</v>
      </c>
      <c r="Z15" s="15">
        <v>0.06991</v>
      </c>
      <c r="AA15" s="15">
        <v>0.002876074538324765</v>
      </c>
      <c r="AB15" s="16">
        <v>0.004385626067051318</v>
      </c>
      <c r="AC15" s="16">
        <v>0.005460677064247619</v>
      </c>
      <c r="AD15" s="16">
        <v>0.003381796859659077</v>
      </c>
      <c r="AE15" s="16">
        <v>0.02216023961964311</v>
      </c>
      <c r="AG15" s="16">
        <v>0.74203</v>
      </c>
      <c r="AH15" s="16">
        <v>0.56345</v>
      </c>
      <c r="AI15" s="16">
        <v>0.17911</v>
      </c>
      <c r="AJ15" s="16">
        <v>0.71559</v>
      </c>
      <c r="AK15" s="16">
        <v>0.55427</v>
      </c>
      <c r="AL15" s="16">
        <v>0.16436</v>
      </c>
    </row>
    <row r="16">
      <c r="A16" s="14" t="s">
        <v>28</v>
      </c>
      <c r="B16" s="15">
        <v>0.04437899999999999</v>
      </c>
      <c r="C16" s="16">
        <v>0.05400049999999999</v>
      </c>
      <c r="D16" s="16">
        <v>0.0313895</v>
      </c>
      <c r="E16" s="16">
        <v>0.0347285</v>
      </c>
      <c r="F16" s="16">
        <v>0.09117499999999999</v>
      </c>
      <c r="G16" s="16">
        <v>0.04377</v>
      </c>
      <c r="H16" s="16">
        <v>0.053845</v>
      </c>
      <c r="I16" s="16">
        <v>0.031515</v>
      </c>
      <c r="J16" s="16">
        <v>0.034945</v>
      </c>
      <c r="K16" s="16">
        <v>0.085075</v>
      </c>
      <c r="L16" s="16">
        <v>0.002966420233210393</v>
      </c>
      <c r="M16" s="16">
        <v>0.002521669040536446</v>
      </c>
      <c r="N16" s="16">
        <v>0.003757059322129476</v>
      </c>
      <c r="O16" s="16">
        <v>0.001999213032670605</v>
      </c>
      <c r="P16" s="16">
        <v>0.01788482219648829</v>
      </c>
      <c r="Q16" s="15">
        <v>0.042593</v>
      </c>
      <c r="R16" s="15">
        <v>0.05440949999999999</v>
      </c>
      <c r="S16" s="15">
        <v>0.0343815</v>
      </c>
      <c r="T16" s="15">
        <v>0.038338</v>
      </c>
      <c r="U16" s="15">
        <v>0.1027275</v>
      </c>
      <c r="V16" s="15">
        <v>0.042975</v>
      </c>
      <c r="W16" s="15">
        <v>0.054135</v>
      </c>
      <c r="X16" s="15">
        <v>0.033705</v>
      </c>
      <c r="Y16" s="15">
        <v>0.03800000000000001</v>
      </c>
      <c r="Z16" s="15">
        <v>0.10413</v>
      </c>
      <c r="AA16" s="15">
        <v>0.002854575450045068</v>
      </c>
      <c r="AB16" s="16">
        <v>0.002062950496255303</v>
      </c>
      <c r="AC16" s="16">
        <v>0.003961736077782062</v>
      </c>
      <c r="AD16" s="16">
        <v>0.002128843817662536</v>
      </c>
      <c r="AE16" s="16">
        <v>0.01193330921203335</v>
      </c>
      <c r="AG16" s="16">
        <v>0.55262</v>
      </c>
      <c r="AH16" s="16">
        <v>0.45386</v>
      </c>
      <c r="AI16" s="16">
        <v>0.13061</v>
      </c>
      <c r="AJ16" s="16">
        <v>0.70148</v>
      </c>
      <c r="AK16" s="16">
        <v>0.40124</v>
      </c>
      <c r="AL16" s="16">
        <v>0.14088</v>
      </c>
    </row>
    <row r="17">
      <c r="A17" s="14" t="s">
        <v>29</v>
      </c>
      <c r="B17" s="15">
        <v>0.04697749999999999</v>
      </c>
      <c r="C17" s="16">
        <v>0.0567435</v>
      </c>
      <c r="D17" s="16">
        <v>0.0305655</v>
      </c>
      <c r="E17" s="16">
        <v>0.0362365</v>
      </c>
      <c r="F17" s="16">
        <v>0.1085085</v>
      </c>
      <c r="G17" s="16">
        <v>0.046515</v>
      </c>
      <c r="H17" s="16">
        <v>0.05599</v>
      </c>
      <c r="I17" s="16">
        <v>0.028925</v>
      </c>
      <c r="J17" s="16">
        <v>0.03648</v>
      </c>
      <c r="K17" s="16">
        <v>0.10401</v>
      </c>
      <c r="L17" s="16">
        <v>0.001927062207091406</v>
      </c>
      <c r="M17" s="16">
        <v>0.005475782387020142</v>
      </c>
      <c r="N17" s="16">
        <v>0.004699811139822535</v>
      </c>
      <c r="O17" s="16">
        <v>0.003236055121594811</v>
      </c>
      <c r="P17" s="16">
        <v>0.03001747928707538</v>
      </c>
      <c r="Q17" s="15">
        <v>0.0509595</v>
      </c>
      <c r="R17" s="15">
        <v>0.05360549999999999</v>
      </c>
      <c r="S17" s="15">
        <v>0.0382815</v>
      </c>
      <c r="T17" s="15">
        <v>0.0395965</v>
      </c>
      <c r="U17" s="15">
        <v>0.1055225</v>
      </c>
      <c r="V17" s="15">
        <v>0.050475</v>
      </c>
      <c r="W17" s="15">
        <v>0.05325000000000001</v>
      </c>
      <c r="X17" s="15">
        <v>0.03754</v>
      </c>
      <c r="Y17" s="15">
        <v>0.039675</v>
      </c>
      <c r="Z17" s="15">
        <v>0.10816</v>
      </c>
      <c r="AA17" s="15">
        <v>0.003364530390708338</v>
      </c>
      <c r="AB17" s="16">
        <v>0.001789512433597487</v>
      </c>
      <c r="AC17" s="16">
        <v>0.004490107209187771</v>
      </c>
      <c r="AD17" s="16">
        <v>0.002734527884297396</v>
      </c>
      <c r="AE17" s="16">
        <v>0.0234051393661734</v>
      </c>
      <c r="AG17" s="16">
        <v>0.64622</v>
      </c>
      <c r="AH17" s="16">
        <v>0.52452</v>
      </c>
      <c r="AI17" s="16">
        <v>0.14129</v>
      </c>
      <c r="AJ17" s="16">
        <v>0.66405</v>
      </c>
      <c r="AK17" s="16">
        <v>0.6069</v>
      </c>
      <c r="AL17" s="16">
        <v>0.17535</v>
      </c>
    </row>
    <row r="18">
      <c r="A18" s="14" t="s">
        <v>30</v>
      </c>
      <c r="B18" s="15">
        <v>0.029676</v>
      </c>
      <c r="C18" s="16">
        <v>0.059515</v>
      </c>
      <c r="D18" s="16">
        <v>0.04080750000000001</v>
      </c>
      <c r="E18" s="16">
        <v>0.043242</v>
      </c>
      <c r="F18" s="16">
        <v>0.1049355</v>
      </c>
      <c r="G18" s="16">
        <v>0.028655</v>
      </c>
      <c r="H18" s="16">
        <v>0.05973000000000001</v>
      </c>
      <c r="I18" s="16">
        <v>0.0401</v>
      </c>
      <c r="J18" s="16">
        <v>0.04286</v>
      </c>
      <c r="K18" s="16">
        <v>0.10309</v>
      </c>
      <c r="L18" s="16">
        <v>0.004473273298156507</v>
      </c>
      <c r="M18" s="16">
        <v>0.003961757816929248</v>
      </c>
      <c r="N18" s="16">
        <v>0.004996077336270927</v>
      </c>
      <c r="O18" s="16">
        <v>0.002943940556465093</v>
      </c>
      <c r="P18" s="16">
        <v>0.01477241431689486</v>
      </c>
      <c r="Q18" s="15">
        <v>0.0559405</v>
      </c>
      <c r="R18" s="15">
        <v>0.0551415</v>
      </c>
      <c r="S18" s="15">
        <v>0.040029</v>
      </c>
      <c r="T18" s="15">
        <v>0.0425915</v>
      </c>
      <c r="U18" s="15">
        <v>0.10004</v>
      </c>
      <c r="V18" s="15">
        <v>0.05519</v>
      </c>
      <c r="W18" s="15">
        <v>0.05455</v>
      </c>
      <c r="X18" s="15">
        <v>0.039685</v>
      </c>
      <c r="Y18" s="15">
        <v>0.042595</v>
      </c>
      <c r="Z18" s="15">
        <v>0.08915500000000001</v>
      </c>
      <c r="AA18" s="15">
        <v>0.004514539262206057</v>
      </c>
      <c r="AB18" s="16">
        <v>0.003528910986409263</v>
      </c>
      <c r="AC18" s="16">
        <v>0.00597984941281969</v>
      </c>
      <c r="AD18" s="16">
        <v>0.002252199536009187</v>
      </c>
      <c r="AE18" s="16">
        <v>0.02332854453239636</v>
      </c>
      <c r="AG18" s="16">
        <v>0.61194</v>
      </c>
      <c r="AH18" s="16">
        <v>0.46875</v>
      </c>
      <c r="AI18" s="16">
        <v>0.13529</v>
      </c>
      <c r="AJ18" s="16">
        <v>0.54904</v>
      </c>
      <c r="AK18" s="16">
        <v>0.42482</v>
      </c>
      <c r="AL18" s="16">
        <v>0.1864</v>
      </c>
    </row>
    <row r="19">
      <c r="A19" s="14" t="s">
        <v>31</v>
      </c>
      <c r="B19" s="15">
        <v>0.0438955</v>
      </c>
      <c r="C19" s="16">
        <v>0.056672</v>
      </c>
      <c r="D19" s="16">
        <v>0.0388935</v>
      </c>
      <c r="E19" s="16">
        <v>0.042214</v>
      </c>
      <c r="F19" s="16">
        <v>0.10603</v>
      </c>
      <c r="G19" s="16">
        <v>0.04439</v>
      </c>
      <c r="H19" s="16">
        <v>0.05708</v>
      </c>
      <c r="I19" s="16">
        <v>0.038535</v>
      </c>
      <c r="J19" s="16">
        <v>0.041935</v>
      </c>
      <c r="K19" s="16">
        <v>0.10311</v>
      </c>
      <c r="L19" s="16">
        <v>0.00265094035202605</v>
      </c>
      <c r="M19" s="16">
        <v>0.002820591427342855</v>
      </c>
      <c r="N19" s="16">
        <v>0.004143414383090352</v>
      </c>
      <c r="O19" s="16">
        <v>0.00207047675669156</v>
      </c>
      <c r="P19" s="16">
        <v>0.01758706399601707</v>
      </c>
      <c r="Q19" s="15">
        <v>0.051549</v>
      </c>
      <c r="R19" s="15">
        <v>0.0704925</v>
      </c>
      <c r="S19" s="15">
        <v>0.03976300000000001</v>
      </c>
      <c r="T19" s="15">
        <v>0.050867</v>
      </c>
      <c r="U19" s="15">
        <v>0.1027035</v>
      </c>
      <c r="V19" s="15">
        <v>0.05072</v>
      </c>
      <c r="W19" s="15">
        <v>0.06905</v>
      </c>
      <c r="X19" s="15">
        <v>0.038395</v>
      </c>
      <c r="Y19" s="15">
        <v>0.050175</v>
      </c>
      <c r="Z19" s="15">
        <v>0.100935</v>
      </c>
      <c r="AA19" s="15">
        <v>0.009364707096327144</v>
      </c>
      <c r="AB19" s="16">
        <v>0.004632438747571304</v>
      </c>
      <c r="AC19" s="16">
        <v>0.004952787195105398</v>
      </c>
      <c r="AD19" s="16">
        <v>0.00426967106461376</v>
      </c>
      <c r="AE19" s="16">
        <v>0.02262598733204808</v>
      </c>
      <c r="AG19" s="16">
        <v>0.60536</v>
      </c>
      <c r="AH19" s="16">
        <v>0.45232</v>
      </c>
      <c r="AI19" s="16">
        <v>0.1486</v>
      </c>
      <c r="AJ19" s="16">
        <v>0.59568</v>
      </c>
      <c r="AK19" s="16">
        <v>0.42358</v>
      </c>
      <c r="AL19" s="16">
        <v>0.18096</v>
      </c>
    </row>
    <row r="20">
      <c r="A20" s="14" t="s">
        <v>32</v>
      </c>
      <c r="B20" s="15">
        <v>0.032418</v>
      </c>
      <c r="C20" s="16">
        <v>0.0509105</v>
      </c>
      <c r="D20" s="16">
        <v>0.024404</v>
      </c>
      <c r="E20" s="16">
        <v>0.0308485</v>
      </c>
      <c r="F20" s="16">
        <v>0.08315900000000001</v>
      </c>
      <c r="G20" s="16">
        <v>0.03193</v>
      </c>
      <c r="H20" s="16">
        <v>0.050455</v>
      </c>
      <c r="I20" s="16">
        <v>0.023755</v>
      </c>
      <c r="J20" s="16">
        <v>0.03023</v>
      </c>
      <c r="K20" s="16">
        <v>0.078665</v>
      </c>
      <c r="L20" s="16">
        <v>0.004234968240730975</v>
      </c>
      <c r="M20" s="16">
        <v>0.002490661508515358</v>
      </c>
      <c r="N20" s="16">
        <v>0.00433517635166091</v>
      </c>
      <c r="O20" s="16">
        <v>0.002782864127117959</v>
      </c>
      <c r="P20" s="16">
        <v>0.02234020409486001</v>
      </c>
      <c r="Q20" s="15">
        <v>0.0228955</v>
      </c>
      <c r="R20" s="15">
        <v>0.05096349999999999</v>
      </c>
      <c r="S20" s="15">
        <v>0.03069199999999999</v>
      </c>
      <c r="T20" s="15">
        <v>0.035451</v>
      </c>
      <c r="U20" s="15">
        <v>0.09827949999999999</v>
      </c>
      <c r="V20" s="15">
        <v>0.022065</v>
      </c>
      <c r="W20" s="15">
        <v>0.05117</v>
      </c>
      <c r="X20" s="15">
        <v>0.02989</v>
      </c>
      <c r="Y20" s="15">
        <v>0.03481</v>
      </c>
      <c r="Z20" s="15">
        <v>0.103885</v>
      </c>
      <c r="AA20" s="15">
        <v>0.004097387551843247</v>
      </c>
      <c r="AB20" s="16">
        <v>0.003273784163624719</v>
      </c>
      <c r="AC20" s="16">
        <v>0.002870892892463945</v>
      </c>
      <c r="AD20" s="16">
        <v>0.002111004263377978</v>
      </c>
      <c r="AE20" s="16">
        <v>0.01793889558334068</v>
      </c>
      <c r="AG20" s="16">
        <v>0.55639</v>
      </c>
      <c r="AH20" s="16">
        <v>0.33428</v>
      </c>
      <c r="AI20" s="16">
        <v>0.13639</v>
      </c>
      <c r="AJ20" s="16">
        <v>0.66402</v>
      </c>
      <c r="AK20" s="16">
        <v>0.47659</v>
      </c>
      <c r="AL20" s="16">
        <v>0.16366</v>
      </c>
    </row>
    <row r="21">
      <c r="A21" s="14" t="s">
        <v>33</v>
      </c>
      <c r="B21" s="15">
        <v>0.038159</v>
      </c>
      <c r="C21" s="16">
        <v>0.0657845</v>
      </c>
      <c r="D21" s="16">
        <v>0.0376355</v>
      </c>
      <c r="E21" s="16">
        <v>0.0447335</v>
      </c>
      <c r="F21" s="16">
        <v>0.092776</v>
      </c>
      <c r="G21" s="16">
        <v>0.03714</v>
      </c>
      <c r="H21" s="16">
        <v>0.065725</v>
      </c>
      <c r="I21" s="16">
        <v>0.0364</v>
      </c>
      <c r="J21" s="16">
        <v>0.044625</v>
      </c>
      <c r="K21" s="16">
        <v>0.091055</v>
      </c>
      <c r="L21" s="16">
        <v>0.005115754001122415</v>
      </c>
      <c r="M21" s="16">
        <v>0.003355451497190803</v>
      </c>
      <c r="N21" s="16">
        <v>0.007249969293038419</v>
      </c>
      <c r="O21" s="16">
        <v>0.003595313998804554</v>
      </c>
      <c r="P21" s="16">
        <v>0.01061930901706886</v>
      </c>
      <c r="Q21" s="15">
        <v>0.046014</v>
      </c>
      <c r="R21" s="15">
        <v>0.0640645</v>
      </c>
      <c r="S21" s="15">
        <v>0.0391315</v>
      </c>
      <c r="T21" s="15">
        <v>0.046213</v>
      </c>
      <c r="U21" s="15">
        <v>0.1153005</v>
      </c>
      <c r="V21" s="15">
        <v>0.046185</v>
      </c>
      <c r="W21" s="15">
        <v>0.06331</v>
      </c>
      <c r="X21" s="15">
        <v>0.039035</v>
      </c>
      <c r="Y21" s="15">
        <v>0.04665</v>
      </c>
      <c r="Z21" s="15">
        <v>0.109935</v>
      </c>
      <c r="AA21" s="15">
        <v>0.003324757735535027</v>
      </c>
      <c r="AB21" s="16">
        <v>0.00330340956437436</v>
      </c>
      <c r="AC21" s="16">
        <v>0.005501091959783985</v>
      </c>
      <c r="AD21" s="16">
        <v>0.002713251002026905</v>
      </c>
      <c r="AE21" s="16">
        <v>0.01751841558903088</v>
      </c>
      <c r="AG21" s="16">
        <v>0.56363</v>
      </c>
      <c r="AH21" s="16">
        <v>0.45664</v>
      </c>
      <c r="AI21" s="16">
        <v>0.18083</v>
      </c>
      <c r="AJ21" s="16">
        <v>0.64839</v>
      </c>
      <c r="AK21" s="16">
        <v>0.46751</v>
      </c>
      <c r="AL21" s="16">
        <v>0.16887</v>
      </c>
    </row>
    <row r="22">
      <c r="A22" s="14" t="s">
        <v>34</v>
      </c>
      <c r="B22" s="15">
        <v>0.07603599999999999</v>
      </c>
      <c r="C22" s="16">
        <v>0.06829400000000001</v>
      </c>
      <c r="D22" s="16">
        <v>0.042302</v>
      </c>
      <c r="E22" s="16">
        <v>0.0458045</v>
      </c>
      <c r="F22" s="16">
        <v>0.1079475</v>
      </c>
      <c r="G22" s="16">
        <v>0.077305</v>
      </c>
      <c r="H22" s="16">
        <v>0.068045</v>
      </c>
      <c r="I22" s="16">
        <v>0.042165</v>
      </c>
      <c r="J22" s="16">
        <v>0.045545</v>
      </c>
      <c r="K22" s="16">
        <v>0.104605</v>
      </c>
      <c r="L22" s="16">
        <v>0.0040403259769479</v>
      </c>
      <c r="M22" s="16">
        <v>0.001826084335401846</v>
      </c>
      <c r="N22" s="16">
        <v>0.003717799887029962</v>
      </c>
      <c r="O22" s="16">
        <v>0.002595250421442987</v>
      </c>
      <c r="P22" s="16">
        <v>0.01171451487471846</v>
      </c>
      <c r="Q22" s="15">
        <v>0.0438855</v>
      </c>
      <c r="R22" s="15">
        <v>0.06247250000000001</v>
      </c>
      <c r="S22" s="15">
        <v>0.03442249999999999</v>
      </c>
      <c r="T22" s="15">
        <v>0.0419985</v>
      </c>
      <c r="U22" s="15">
        <v>0.102002</v>
      </c>
      <c r="V22" s="15">
        <v>0.043815</v>
      </c>
      <c r="W22" s="15">
        <v>0.06257499999999999</v>
      </c>
      <c r="X22" s="15">
        <v>0.03369</v>
      </c>
      <c r="Y22" s="15">
        <v>0.042245</v>
      </c>
      <c r="Z22" s="15">
        <v>0.10447</v>
      </c>
      <c r="AA22" s="15">
        <v>0.003726560713311941</v>
      </c>
      <c r="AB22" s="16">
        <v>0.002250401908548782</v>
      </c>
      <c r="AC22" s="16">
        <v>0.002880938866064326</v>
      </c>
      <c r="AD22" s="16">
        <v>0.00245468994987147</v>
      </c>
      <c r="AE22" s="16">
        <v>0.01041052717205041</v>
      </c>
      <c r="AG22" s="16">
        <v>0.71258</v>
      </c>
      <c r="AH22" s="16">
        <v>0.37076</v>
      </c>
      <c r="AI22" s="16">
        <v>0.07873</v>
      </c>
      <c r="AJ22" s="16">
        <v>0.79356</v>
      </c>
      <c r="AK22" s="16">
        <v>0.48494</v>
      </c>
      <c r="AL22" s="16">
        <v>0.08744</v>
      </c>
    </row>
    <row r="23">
      <c r="A23" s="14" t="s">
        <v>35</v>
      </c>
      <c r="B23" s="15">
        <v>0.070951</v>
      </c>
      <c r="C23" s="16">
        <v>0.070554</v>
      </c>
      <c r="D23" s="16">
        <v>0.039022</v>
      </c>
      <c r="E23" s="16">
        <v>0.04794950000000001</v>
      </c>
      <c r="F23" s="16">
        <v>0.1021885</v>
      </c>
      <c r="G23" s="16">
        <v>0.071425</v>
      </c>
      <c r="H23" s="16">
        <v>0.07048</v>
      </c>
      <c r="I23" s="16">
        <v>0.038635</v>
      </c>
      <c r="J23" s="16">
        <v>0.04791</v>
      </c>
      <c r="K23" s="16">
        <v>0.101865</v>
      </c>
      <c r="L23" s="16">
        <v>0.002910587397760115</v>
      </c>
      <c r="M23" s="16">
        <v>0.002607532166628055</v>
      </c>
      <c r="N23" s="16">
        <v>0.003395036965925408</v>
      </c>
      <c r="O23" s="16">
        <v>0.002188527987026896</v>
      </c>
      <c r="P23" s="16">
        <v>0.009469955794511396</v>
      </c>
      <c r="Q23" s="15">
        <v>0.04080950000000001</v>
      </c>
      <c r="R23" s="15">
        <v>0.0654485</v>
      </c>
      <c r="S23" s="15">
        <v>0.037222</v>
      </c>
      <c r="T23" s="15">
        <v>0.0430215</v>
      </c>
      <c r="U23" s="15">
        <v>0.1164965</v>
      </c>
      <c r="V23" s="15">
        <v>0.04177</v>
      </c>
      <c r="W23" s="15">
        <v>0.06545999999999999</v>
      </c>
      <c r="X23" s="15">
        <v>0.037435</v>
      </c>
      <c r="Y23" s="15">
        <v>0.04304</v>
      </c>
      <c r="Z23" s="15">
        <v>0.116535</v>
      </c>
      <c r="AA23" s="15">
        <v>0.004556064612140614</v>
      </c>
      <c r="AB23" s="16">
        <v>0.002419556312632547</v>
      </c>
      <c r="AC23" s="16">
        <v>0.003350250139914929</v>
      </c>
      <c r="AD23" s="16">
        <v>0.001907931537031663</v>
      </c>
      <c r="AE23" s="16">
        <v>0.0142785609481488</v>
      </c>
      <c r="AG23" s="16">
        <v>0.70778</v>
      </c>
      <c r="AH23" s="16">
        <v>0.39801</v>
      </c>
      <c r="AI23" s="16">
        <v>0.07837</v>
      </c>
      <c r="AJ23" s="16">
        <v>0.72705</v>
      </c>
      <c r="AK23" s="16">
        <v>0.51469</v>
      </c>
      <c r="AL23" s="16">
        <v>0.08485</v>
      </c>
    </row>
    <row r="24">
      <c r="A24" s="14" t="s">
        <v>36</v>
      </c>
      <c r="B24" s="15">
        <v>0.05034299999999999</v>
      </c>
      <c r="C24" s="16">
        <v>0.05670050000000001</v>
      </c>
      <c r="D24" s="16">
        <v>0.033231</v>
      </c>
      <c r="E24" s="16">
        <v>0.038941</v>
      </c>
      <c r="F24" s="16">
        <v>0.09080250000000001</v>
      </c>
      <c r="G24" s="16">
        <v>0.050955</v>
      </c>
      <c r="H24" s="16">
        <v>0.056975</v>
      </c>
      <c r="I24" s="16">
        <v>0.033745</v>
      </c>
      <c r="J24" s="16">
        <v>0.03914</v>
      </c>
      <c r="K24" s="16">
        <v>0.09162000000000001</v>
      </c>
      <c r="L24" s="16">
        <v>0.003031458559835513</v>
      </c>
      <c r="M24" s="16">
        <v>0.002021718266722641</v>
      </c>
      <c r="N24" s="16">
        <v>0.003404476318026019</v>
      </c>
      <c r="O24" s="16">
        <v>0.001296109177500106</v>
      </c>
      <c r="P24" s="16">
        <v>0.009822339779808068</v>
      </c>
      <c r="Q24" s="15">
        <v>0.05690849999999999</v>
      </c>
      <c r="R24" s="15">
        <v>0.06230150000000001</v>
      </c>
      <c r="S24" s="15">
        <v>0.038672</v>
      </c>
      <c r="T24" s="15">
        <v>0.042106</v>
      </c>
      <c r="U24" s="15">
        <v>0.100483</v>
      </c>
      <c r="V24" s="15">
        <v>0.057385</v>
      </c>
      <c r="W24" s="15">
        <v>0.06303500000000001</v>
      </c>
      <c r="X24" s="15">
        <v>0.03917</v>
      </c>
      <c r="Y24" s="15">
        <v>0.04241</v>
      </c>
      <c r="Z24" s="15">
        <v>0.09914</v>
      </c>
      <c r="AA24" s="15">
        <v>0.005345860337681858</v>
      </c>
      <c r="AB24" s="16">
        <v>0.003009214640068069</v>
      </c>
      <c r="AC24" s="16">
        <v>0.002381118644671029</v>
      </c>
      <c r="AD24" s="16">
        <v>0.002118073180983132</v>
      </c>
      <c r="AE24" s="16">
        <v>0.01074324350464049</v>
      </c>
      <c r="AG24" s="16">
        <v>0.77798</v>
      </c>
      <c r="AH24" s="16">
        <v>0.45992</v>
      </c>
      <c r="AI24" s="16">
        <v>0.07305</v>
      </c>
      <c r="AJ24" s="16">
        <v>0.81155</v>
      </c>
      <c r="AK24" s="16">
        <v>0.51907</v>
      </c>
      <c r="AL24" s="16">
        <v>0.06884</v>
      </c>
    </row>
    <row r="25">
      <c r="A25" s="14" t="s">
        <v>37</v>
      </c>
      <c r="B25" s="15">
        <v>0.0583855</v>
      </c>
      <c r="C25" s="16">
        <v>0.06986700000000001</v>
      </c>
      <c r="D25" s="16">
        <v>0.038386</v>
      </c>
      <c r="E25" s="16">
        <v>0.044976</v>
      </c>
      <c r="F25" s="16">
        <v>0.1053</v>
      </c>
      <c r="G25" s="16">
        <v>0.059115</v>
      </c>
      <c r="H25" s="16">
        <v>0.06983</v>
      </c>
      <c r="I25" s="16">
        <v>0.037695</v>
      </c>
      <c r="J25" s="16">
        <v>0.045445</v>
      </c>
      <c r="K25" s="16">
        <v>0.10226</v>
      </c>
      <c r="L25" s="16">
        <v>0.004182474716002476</v>
      </c>
      <c r="M25" s="16">
        <v>0.002501731600312072</v>
      </c>
      <c r="N25" s="16">
        <v>0.004107132089426879</v>
      </c>
      <c r="O25" s="16">
        <v>0.00245498757634331</v>
      </c>
      <c r="P25" s="16">
        <v>0.0135173140823168</v>
      </c>
      <c r="Q25" s="15">
        <v>0.073686</v>
      </c>
      <c r="R25" s="15">
        <v>0.0647575</v>
      </c>
      <c r="S25" s="15">
        <v>0.0374925</v>
      </c>
      <c r="T25" s="15">
        <v>0.0460215</v>
      </c>
      <c r="U25" s="15">
        <v>0.09687950000000001</v>
      </c>
      <c r="V25" s="15">
        <v>0.072965</v>
      </c>
      <c r="W25" s="15">
        <v>0.065025</v>
      </c>
      <c r="X25" s="15">
        <v>0.03754</v>
      </c>
      <c r="Y25" s="15">
        <v>0.04649499999999999</v>
      </c>
      <c r="Z25" s="15">
        <v>0.09662499999999999</v>
      </c>
      <c r="AA25" s="15">
        <v>0.003776782228299641</v>
      </c>
      <c r="AB25" s="16">
        <v>0.00327877549551658</v>
      </c>
      <c r="AC25" s="16">
        <v>0.003762948146068453</v>
      </c>
      <c r="AD25" s="16">
        <v>0.002008587252274594</v>
      </c>
      <c r="AE25" s="16">
        <v>0.009289640722331518</v>
      </c>
      <c r="AG25" s="16">
        <v>0.75444</v>
      </c>
      <c r="AH25" s="16">
        <v>0.39348</v>
      </c>
      <c r="AI25" s="16">
        <v>0.10667</v>
      </c>
      <c r="AJ25" s="16">
        <v>0.76766</v>
      </c>
      <c r="AK25" s="16">
        <v>0.49622</v>
      </c>
      <c r="AL25" s="16">
        <v>0.09386</v>
      </c>
    </row>
    <row r="26">
      <c r="A26" s="14" t="s">
        <v>38</v>
      </c>
      <c r="B26" s="15">
        <v>0.05137400000000001</v>
      </c>
      <c r="C26" s="16">
        <v>0.058935</v>
      </c>
      <c r="D26" s="16">
        <v>0.03304550000000001</v>
      </c>
      <c r="E26" s="16">
        <v>0.03815650000000001</v>
      </c>
      <c r="F26" s="16">
        <v>0.09581550000000001</v>
      </c>
      <c r="G26" s="16">
        <v>0.05121</v>
      </c>
      <c r="H26" s="16">
        <v>0.05876</v>
      </c>
      <c r="I26" s="16">
        <v>0.03278499999999999</v>
      </c>
      <c r="J26" s="16">
        <v>0.03780500000000001</v>
      </c>
      <c r="K26" s="16">
        <v>0.09911500000000001</v>
      </c>
      <c r="L26" s="16">
        <v>0.002800154281463791</v>
      </c>
      <c r="M26" s="16">
        <v>0.001969168606290482</v>
      </c>
      <c r="N26" s="16">
        <v>0.00321933762597215</v>
      </c>
      <c r="O26" s="16">
        <v>0.00175476287571854</v>
      </c>
      <c r="P26" s="16">
        <v>0.01020427041733019</v>
      </c>
      <c r="Q26" s="15">
        <v>0.06618450000000001</v>
      </c>
      <c r="R26" s="15">
        <v>0.06707950000000001</v>
      </c>
      <c r="S26" s="15">
        <v>0.042225</v>
      </c>
      <c r="T26" s="15">
        <v>0.0467215</v>
      </c>
      <c r="U26" s="15">
        <v>0.095558</v>
      </c>
      <c r="V26" s="15">
        <v>0.06698</v>
      </c>
      <c r="W26" s="15">
        <v>0.06751</v>
      </c>
      <c r="X26" s="15">
        <v>0.04261</v>
      </c>
      <c r="Y26" s="15">
        <v>0.04694</v>
      </c>
      <c r="Z26" s="15">
        <v>0.09651000000000001</v>
      </c>
      <c r="AA26" s="15">
        <v>0.004275914492830744</v>
      </c>
      <c r="AB26" s="16">
        <v>0.002951134485244616</v>
      </c>
      <c r="AC26" s="16">
        <v>0.003515248924329542</v>
      </c>
      <c r="AD26" s="16">
        <v>0.003018438793482485</v>
      </c>
      <c r="AE26" s="16">
        <v>0.01536671161960164</v>
      </c>
      <c r="AG26" s="16">
        <v>0.73649</v>
      </c>
      <c r="AH26" s="16">
        <v>0.46367</v>
      </c>
      <c r="AI26" s="16">
        <v>0.08648</v>
      </c>
      <c r="AJ26" s="16">
        <v>0.8573</v>
      </c>
      <c r="AK26" s="16">
        <v>0.56494</v>
      </c>
      <c r="AL26" s="16">
        <v>0.0838</v>
      </c>
    </row>
    <row r="27">
      <c r="A27" s="14" t="s">
        <v>39</v>
      </c>
      <c r="B27" s="15">
        <v>0.0645225</v>
      </c>
      <c r="C27" s="16">
        <v>0.0634565</v>
      </c>
      <c r="D27" s="16">
        <v>0.03575399999999999</v>
      </c>
      <c r="E27" s="16">
        <v>0.042488</v>
      </c>
      <c r="F27" s="16">
        <v>0.0902235</v>
      </c>
      <c r="G27" s="16">
        <v>0.065065</v>
      </c>
      <c r="H27" s="16">
        <v>0.06348</v>
      </c>
      <c r="I27" s="16">
        <v>0.036285</v>
      </c>
      <c r="J27" s="16">
        <v>0.04232</v>
      </c>
      <c r="K27" s="16">
        <v>0.0875</v>
      </c>
      <c r="L27" s="16">
        <v>0.002511401750019298</v>
      </c>
      <c r="M27" s="16">
        <v>0.001811969301616338</v>
      </c>
      <c r="N27" s="16">
        <v>0.003137287682059138</v>
      </c>
      <c r="O27" s="16">
        <v>0.00131535014349792</v>
      </c>
      <c r="P27" s="16">
        <v>0.01102035039143493</v>
      </c>
      <c r="Q27" s="15">
        <v>0.0699515</v>
      </c>
      <c r="R27" s="15">
        <v>0.0656735</v>
      </c>
      <c r="S27" s="15">
        <v>0.0377145</v>
      </c>
      <c r="T27" s="15">
        <v>0.0439405</v>
      </c>
      <c r="U27" s="15">
        <v>0.09935499999999998</v>
      </c>
      <c r="V27" s="15">
        <v>0.06981499999999999</v>
      </c>
      <c r="W27" s="15">
        <v>0.06559999999999999</v>
      </c>
      <c r="X27" s="15">
        <v>0.03799</v>
      </c>
      <c r="Y27" s="15">
        <v>0.04426</v>
      </c>
      <c r="Z27" s="15">
        <v>0.09749</v>
      </c>
      <c r="AA27" s="15">
        <v>0.002642646921175811</v>
      </c>
      <c r="AB27" s="16">
        <v>0.002385175622464728</v>
      </c>
      <c r="AC27" s="16">
        <v>0.003454597624905106</v>
      </c>
      <c r="AD27" s="16">
        <v>0.003015190665613039</v>
      </c>
      <c r="AE27" s="16">
        <v>0.01380138706797255</v>
      </c>
      <c r="AG27" s="16">
        <v>0.73443</v>
      </c>
      <c r="AH27" s="16">
        <v>0.39706</v>
      </c>
      <c r="AI27" s="16">
        <v>0.0841</v>
      </c>
      <c r="AJ27" s="16">
        <v>0.77475</v>
      </c>
      <c r="AK27" s="16">
        <v>0.43448</v>
      </c>
      <c r="AL27" s="16">
        <v>0.09384</v>
      </c>
    </row>
    <row r="28">
      <c r="A28" s="14" t="s">
        <v>40</v>
      </c>
      <c r="B28" s="15">
        <v>0.05599149999999999</v>
      </c>
      <c r="C28" s="16">
        <v>0.0596975</v>
      </c>
      <c r="D28" s="16">
        <v>0.035687</v>
      </c>
      <c r="E28" s="16">
        <v>0.042486</v>
      </c>
      <c r="F28" s="16">
        <v>0.084648</v>
      </c>
      <c r="G28" s="16">
        <v>0.05672</v>
      </c>
      <c r="H28" s="16">
        <v>0.059935</v>
      </c>
      <c r="I28" s="16">
        <v>0.035165</v>
      </c>
      <c r="J28" s="16">
        <v>0.042425</v>
      </c>
      <c r="K28" s="16">
        <v>0.08466499999999999</v>
      </c>
      <c r="L28" s="16">
        <v>0.002801319822869213</v>
      </c>
      <c r="M28" s="16">
        <v>0.001368871341653408</v>
      </c>
      <c r="N28" s="16">
        <v>0.002589942277349053</v>
      </c>
      <c r="O28" s="16">
        <v>0.001510266201700879</v>
      </c>
      <c r="P28" s="16">
        <v>0.005428578635333563</v>
      </c>
      <c r="Q28" s="16">
        <v>0.04762</v>
      </c>
      <c r="R28" s="16">
        <v>0.05465950000000001</v>
      </c>
      <c r="S28" s="16">
        <v>0.0347635</v>
      </c>
      <c r="T28" s="16">
        <v>0.0394595</v>
      </c>
      <c r="U28" s="16">
        <v>0.08316449999999999</v>
      </c>
      <c r="V28" s="16">
        <v>0.04828</v>
      </c>
      <c r="W28" s="16">
        <v>0.05468</v>
      </c>
      <c r="X28" s="16">
        <v>0.034165</v>
      </c>
      <c r="Y28" s="16">
        <v>0.03941</v>
      </c>
      <c r="Z28" s="16">
        <v>0.082315</v>
      </c>
      <c r="AA28" s="15">
        <v>0.001924822069698911</v>
      </c>
      <c r="AB28" s="16">
        <v>0.001197361578638634</v>
      </c>
      <c r="AC28" s="16">
        <v>0.00261768652630524</v>
      </c>
      <c r="AD28" s="16">
        <v>0.001474216656397559</v>
      </c>
      <c r="AE28" s="16">
        <v>0.004588206049209211</v>
      </c>
      <c r="AG28" s="16">
        <v>0.91397</v>
      </c>
      <c r="AH28" s="16">
        <v>0.52826</v>
      </c>
      <c r="AI28" s="16">
        <v>0.03369</v>
      </c>
      <c r="AJ28" s="16">
        <v>0.87742</v>
      </c>
      <c r="AK28" s="16">
        <v>0.52897</v>
      </c>
      <c r="AL28" s="16">
        <v>0.04479</v>
      </c>
    </row>
    <row r="29">
      <c r="A29" s="14" t="s">
        <v>41</v>
      </c>
      <c r="B29" s="15">
        <v>0.0514675</v>
      </c>
      <c r="C29" s="16">
        <v>0.0574525</v>
      </c>
      <c r="D29" s="16">
        <v>0.0343025</v>
      </c>
      <c r="E29" s="16">
        <v>0.0406695</v>
      </c>
      <c r="F29" s="16">
        <v>0.08073749999999999</v>
      </c>
      <c r="G29" s="16">
        <v>0.05152</v>
      </c>
      <c r="H29" s="16">
        <v>0.0578</v>
      </c>
      <c r="I29" s="16">
        <v>0.03466</v>
      </c>
      <c r="J29" s="16">
        <v>0.04070500000000001</v>
      </c>
      <c r="K29" s="16">
        <v>0.07874</v>
      </c>
      <c r="L29" s="16">
        <v>0.002259893526252952</v>
      </c>
      <c r="M29" s="16">
        <v>0.001207438921850708</v>
      </c>
      <c r="N29" s="16">
        <v>0.001637061009858826</v>
      </c>
      <c r="O29" s="16">
        <v>0.001578244198468666</v>
      </c>
      <c r="P29" s="16">
        <v>0.006786901999439802</v>
      </c>
      <c r="Q29" s="16">
        <v>0.06107700000000001</v>
      </c>
      <c r="R29" s="16">
        <v>0.061115</v>
      </c>
      <c r="S29" s="16">
        <v>0.0368385</v>
      </c>
      <c r="T29" s="16">
        <v>0.0437025</v>
      </c>
      <c r="U29" s="16">
        <v>0.0868545</v>
      </c>
      <c r="V29" s="16">
        <v>0.06096</v>
      </c>
      <c r="W29" s="16">
        <v>0.06109000000000001</v>
      </c>
      <c r="X29" s="16">
        <v>0.037505</v>
      </c>
      <c r="Y29" s="16">
        <v>0.04336</v>
      </c>
      <c r="Z29" s="16">
        <v>0.085975</v>
      </c>
      <c r="AA29" s="15">
        <v>0.002114746084048864</v>
      </c>
      <c r="AB29" s="16">
        <v>0.001241239300054587</v>
      </c>
      <c r="AC29" s="16">
        <v>0.002531723276742543</v>
      </c>
      <c r="AD29" s="16">
        <v>0.001633814172419863</v>
      </c>
      <c r="AE29" s="16">
        <v>0.006110916031987349</v>
      </c>
      <c r="AG29" s="16">
        <v>0.88933</v>
      </c>
      <c r="AH29" s="16">
        <v>0.46552</v>
      </c>
      <c r="AI29" s="16">
        <v>0.03968</v>
      </c>
      <c r="AJ29" s="16">
        <v>0.88782</v>
      </c>
      <c r="AK29" s="16">
        <v>0.43756</v>
      </c>
      <c r="AL29" s="16">
        <v>0.04138</v>
      </c>
    </row>
    <row r="30">
      <c r="A30" s="14" t="s">
        <v>42</v>
      </c>
      <c r="B30" s="15">
        <v>0.05611849999999999</v>
      </c>
      <c r="C30" s="16">
        <v>0.0574745</v>
      </c>
      <c r="D30" s="16">
        <v>0.0324905</v>
      </c>
      <c r="E30" s="16">
        <v>0.0415665</v>
      </c>
      <c r="F30" s="16">
        <v>0.0799085</v>
      </c>
      <c r="G30" s="16">
        <v>0.05499</v>
      </c>
      <c r="H30" s="16">
        <v>0.057695</v>
      </c>
      <c r="I30" s="16">
        <v>0.032065</v>
      </c>
      <c r="J30" s="16">
        <v>0.04170500000000001</v>
      </c>
      <c r="K30" s="16">
        <v>0.081635</v>
      </c>
      <c r="L30" s="16">
        <v>0.002816354514261299</v>
      </c>
      <c r="M30" s="16">
        <v>0.001339706964227626</v>
      </c>
      <c r="N30" s="16">
        <v>0.002903636470014799</v>
      </c>
      <c r="O30" s="16">
        <v>0.001389637632622261</v>
      </c>
      <c r="P30" s="16">
        <v>0.004889186307556708</v>
      </c>
      <c r="Q30" s="16">
        <v>0.040225</v>
      </c>
      <c r="R30" s="16">
        <v>0.05035199999999999</v>
      </c>
      <c r="S30" s="16">
        <v>0.0282905</v>
      </c>
      <c r="T30" s="16">
        <v>0.03408850000000001</v>
      </c>
      <c r="U30" s="16">
        <v>0.073233</v>
      </c>
      <c r="V30" s="16">
        <v>0.04016500000000001</v>
      </c>
      <c r="W30" s="16">
        <v>0.05094</v>
      </c>
      <c r="X30" s="16">
        <v>0.028275</v>
      </c>
      <c r="Y30" s="16">
        <v>0.03401</v>
      </c>
      <c r="Z30" s="16">
        <v>0.07251</v>
      </c>
      <c r="AA30" s="15">
        <v>0.002114768308822505</v>
      </c>
      <c r="AB30" s="16">
        <v>0.001898269211676784</v>
      </c>
      <c r="AC30" s="16">
        <v>0.003053952316261667</v>
      </c>
      <c r="AD30" s="16">
        <v>0.001636549036845521</v>
      </c>
      <c r="AE30" s="16">
        <v>0.005168054856520006</v>
      </c>
      <c r="AG30" s="16">
        <v>0.91495</v>
      </c>
      <c r="AH30" s="16">
        <v>0.46722</v>
      </c>
      <c r="AI30" s="16">
        <v>1.12595</v>
      </c>
      <c r="AJ30" s="16">
        <v>0.87079</v>
      </c>
      <c r="AK30" s="16">
        <v>0.44163</v>
      </c>
      <c r="AL30" s="16">
        <v>0.03876</v>
      </c>
    </row>
    <row r="31">
      <c r="A31" s="14" t="s">
        <v>43</v>
      </c>
      <c r="B31" s="15">
        <v>0.051742</v>
      </c>
      <c r="C31" s="16">
        <v>0.05139450000000001</v>
      </c>
      <c r="D31" s="16">
        <v>0.0333405</v>
      </c>
      <c r="E31" s="16">
        <v>0.03792400000000001</v>
      </c>
      <c r="F31" s="16">
        <v>0.07366500000000001</v>
      </c>
      <c r="G31" s="16">
        <v>0.050965</v>
      </c>
      <c r="H31" s="16">
        <v>0.05111</v>
      </c>
      <c r="I31" s="16">
        <v>0.033705</v>
      </c>
      <c r="J31" s="16">
        <v>0.03811</v>
      </c>
      <c r="K31" s="16">
        <v>0.07313</v>
      </c>
      <c r="L31" s="16">
        <v>0.002665834953630851</v>
      </c>
      <c r="M31" s="16">
        <v>0.00125672381611872</v>
      </c>
      <c r="N31" s="16">
        <v>0.002871479540237053</v>
      </c>
      <c r="O31" s="16">
        <v>0.001320512779188449</v>
      </c>
      <c r="P31" s="16">
        <v>0.005000892420358592</v>
      </c>
      <c r="Q31" s="16">
        <v>0.045557</v>
      </c>
      <c r="R31" s="16">
        <v>0.057686</v>
      </c>
      <c r="S31" s="16">
        <v>0.03117200000000001</v>
      </c>
      <c r="T31" s="16">
        <v>0.04013200000000001</v>
      </c>
      <c r="U31" s="16">
        <v>0.07935750000000001</v>
      </c>
      <c r="V31" s="16">
        <v>0.045785</v>
      </c>
      <c r="W31" s="16">
        <v>0.057435</v>
      </c>
      <c r="X31" s="16">
        <v>0.03111</v>
      </c>
      <c r="Y31" s="16">
        <v>0.04023</v>
      </c>
      <c r="Z31" s="16">
        <v>0.07882</v>
      </c>
      <c r="AA31" s="15">
        <v>0.002346727721743619</v>
      </c>
      <c r="AB31" s="16">
        <v>0.001736871900860855</v>
      </c>
      <c r="AC31" s="16">
        <v>0.002149171002968353</v>
      </c>
      <c r="AD31" s="16">
        <v>0.00198342027820631</v>
      </c>
      <c r="AE31" s="16">
        <v>0.005458938427020403</v>
      </c>
      <c r="AG31" s="16">
        <v>0.83894</v>
      </c>
      <c r="AH31" s="16">
        <v>0.35937</v>
      </c>
      <c r="AI31" s="16">
        <v>0.34343</v>
      </c>
      <c r="AJ31" s="16">
        <v>0.84115</v>
      </c>
      <c r="AK31" s="16">
        <v>0.406</v>
      </c>
      <c r="AL31" s="16">
        <v>0.03704</v>
      </c>
    </row>
    <row r="32">
      <c r="A32" s="14" t="s">
        <v>44</v>
      </c>
      <c r="B32" s="15">
        <v>0.042452</v>
      </c>
      <c r="C32" s="16">
        <v>0.0565175</v>
      </c>
      <c r="D32" s="16">
        <v>0.032371</v>
      </c>
      <c r="E32" s="16">
        <v>0.039616</v>
      </c>
      <c r="F32" s="16">
        <v>0.0787015</v>
      </c>
      <c r="G32" s="16">
        <v>0.04238</v>
      </c>
      <c r="H32" s="16">
        <v>0.05666</v>
      </c>
      <c r="I32" s="16">
        <v>0.03199</v>
      </c>
      <c r="J32" s="16">
        <v>0.03981</v>
      </c>
      <c r="K32" s="16">
        <v>0.07995</v>
      </c>
      <c r="L32" s="16">
        <v>0.002323520174218421</v>
      </c>
      <c r="M32" s="16">
        <v>9.734776576789006E-4</v>
      </c>
      <c r="N32" s="16">
        <v>0.002566246091083239</v>
      </c>
      <c r="O32" s="16">
        <v>0.001848605961258374</v>
      </c>
      <c r="P32" s="16">
        <v>0.005753304506976837</v>
      </c>
      <c r="Q32" s="16">
        <v>0.05581750000000001</v>
      </c>
      <c r="R32" s="16">
        <v>0.061058</v>
      </c>
      <c r="S32" s="16">
        <v>0.035996</v>
      </c>
      <c r="T32" s="16">
        <v>0.04432899999999999</v>
      </c>
      <c r="U32" s="16">
        <v>0.08496649999999999</v>
      </c>
      <c r="V32" s="16">
        <v>0.05574</v>
      </c>
      <c r="W32" s="16">
        <v>0.061275</v>
      </c>
      <c r="X32" s="16">
        <v>0.035505</v>
      </c>
      <c r="Y32" s="16">
        <v>0.044485</v>
      </c>
      <c r="Z32" s="16">
        <v>0.08614</v>
      </c>
      <c r="AA32" s="15">
        <v>0.002202155478162248</v>
      </c>
      <c r="AB32" s="16">
        <v>0.001557239865916616</v>
      </c>
      <c r="AC32" s="16">
        <v>0.003511233971127528</v>
      </c>
      <c r="AD32" s="16">
        <v>0.002286604250848843</v>
      </c>
      <c r="AE32" s="16">
        <v>0.00586932387503024</v>
      </c>
      <c r="AG32" s="16">
        <v>0.81096</v>
      </c>
      <c r="AH32" s="16">
        <v>0.36056</v>
      </c>
      <c r="AI32" s="16">
        <v>0.02965</v>
      </c>
      <c r="AJ32" s="16">
        <v>0.88078</v>
      </c>
      <c r="AK32" s="16">
        <v>0.42069</v>
      </c>
      <c r="AL32" s="16">
        <v>0.04134</v>
      </c>
    </row>
    <row r="33">
      <c r="A33" s="14" t="s">
        <v>45</v>
      </c>
      <c r="B33" s="15">
        <v>0.0764895</v>
      </c>
      <c r="C33" s="16">
        <v>0.07655799999999999</v>
      </c>
      <c r="D33" s="16">
        <v>0.039062</v>
      </c>
      <c r="E33" s="16">
        <v>0.0523945</v>
      </c>
      <c r="F33" s="16">
        <v>0.1003345</v>
      </c>
      <c r="G33" s="16">
        <v>0.07655999999999999</v>
      </c>
      <c r="H33" s="16">
        <v>0.07694999999999999</v>
      </c>
      <c r="I33" s="16">
        <v>0.038545</v>
      </c>
      <c r="J33" s="16">
        <v>0.053245</v>
      </c>
      <c r="K33" s="16">
        <v>0.10014</v>
      </c>
      <c r="L33" s="16">
        <v>0.003698081225446515</v>
      </c>
      <c r="M33" s="16">
        <v>0.002801879012377231</v>
      </c>
      <c r="N33" s="16">
        <v>0.004012452616542655</v>
      </c>
      <c r="O33" s="16">
        <v>0.003041523425850933</v>
      </c>
      <c r="P33" s="16">
        <v>0.006046097481020299</v>
      </c>
      <c r="Q33" s="16">
        <v>0.0606655</v>
      </c>
      <c r="R33" s="16">
        <v>0.066703</v>
      </c>
      <c r="S33" s="16">
        <v>0.042972</v>
      </c>
      <c r="T33" s="16">
        <v>0.04878</v>
      </c>
      <c r="U33" s="16">
        <v>0.09104750000000002</v>
      </c>
      <c r="V33" s="16">
        <v>0.06122</v>
      </c>
      <c r="W33" s="16">
        <v>0.06733</v>
      </c>
      <c r="X33" s="16">
        <v>0.043505</v>
      </c>
      <c r="Y33" s="16">
        <v>0.04838</v>
      </c>
      <c r="Z33" s="16">
        <v>0.09011</v>
      </c>
      <c r="AA33" s="15">
        <v>0.002605188045036289</v>
      </c>
      <c r="AB33" s="16">
        <v>0.002142085665887338</v>
      </c>
      <c r="AC33" s="16">
        <v>0.00368446142604316</v>
      </c>
      <c r="AD33" s="16">
        <v>0.001891306426785465</v>
      </c>
      <c r="AE33" s="16">
        <v>0.007871004303772172</v>
      </c>
      <c r="AG33" s="16">
        <v>0.84207</v>
      </c>
      <c r="AH33" s="16">
        <v>0.43774</v>
      </c>
      <c r="AI33" s="16">
        <v>0.7267</v>
      </c>
      <c r="AJ33" s="16">
        <v>0.73558</v>
      </c>
      <c r="AK33" s="16">
        <v>0.32756</v>
      </c>
      <c r="AL33" s="16">
        <v>0.04073</v>
      </c>
    </row>
    <row r="34">
      <c r="A34" s="14" t="s">
        <v>46</v>
      </c>
      <c r="B34" s="15">
        <v>0.0383295</v>
      </c>
      <c r="C34" s="16">
        <v>0.045383</v>
      </c>
      <c r="D34" s="16">
        <v>0.030259</v>
      </c>
      <c r="E34" s="16">
        <v>0.034981</v>
      </c>
      <c r="F34" s="16">
        <v>0.06036650000000001</v>
      </c>
      <c r="G34" s="16">
        <v>0.03841</v>
      </c>
      <c r="H34" s="16">
        <v>0.045345</v>
      </c>
      <c r="I34" s="16">
        <v>0.0302</v>
      </c>
      <c r="J34" s="16">
        <v>0.03472</v>
      </c>
      <c r="K34" s="16">
        <v>0.06031</v>
      </c>
      <c r="L34" s="16">
        <v>0.001118965928882556</v>
      </c>
      <c r="M34" s="16">
        <v>7.4160029665582E-4</v>
      </c>
      <c r="N34" s="16">
        <v>0.001910606971619228</v>
      </c>
      <c r="O34" s="16">
        <v>0.001382963846237492</v>
      </c>
      <c r="P34" s="16">
        <v>0.002639394390764669</v>
      </c>
      <c r="Q34" s="16">
        <v>0.04326200000000001</v>
      </c>
      <c r="R34" s="16">
        <v>0.046456</v>
      </c>
      <c r="S34" s="16">
        <v>0.031431</v>
      </c>
      <c r="T34" s="16">
        <v>0.0357415</v>
      </c>
      <c r="U34" s="16">
        <v>0.061569</v>
      </c>
      <c r="V34" s="16">
        <v>0.04348</v>
      </c>
      <c r="W34" s="16">
        <v>0.04632500000000001</v>
      </c>
      <c r="X34" s="16">
        <v>0.031165</v>
      </c>
      <c r="Y34" s="16">
        <v>0.035825</v>
      </c>
      <c r="Z34" s="16">
        <v>0.06127</v>
      </c>
      <c r="AA34" s="15">
        <v>0.001462082760995424</v>
      </c>
      <c r="AB34" s="16">
        <v>9.39688246175294E-4</v>
      </c>
      <c r="AC34" s="16">
        <v>0.002211286729485798</v>
      </c>
      <c r="AD34" s="16">
        <v>0.001168504492931029</v>
      </c>
      <c r="AE34" s="16">
        <v>0.003127935261478408</v>
      </c>
      <c r="AG34" s="16">
        <v>0.90844</v>
      </c>
      <c r="AH34" s="16">
        <v>0.49774</v>
      </c>
      <c r="AI34" s="16">
        <v>1.09781</v>
      </c>
      <c r="AJ34" s="16">
        <v>0.91815</v>
      </c>
      <c r="AK34" s="16">
        <v>0.3937</v>
      </c>
      <c r="AL34" s="16">
        <v>1.08275</v>
      </c>
    </row>
    <row r="35">
      <c r="A35" s="14" t="s">
        <v>47</v>
      </c>
      <c r="B35" s="15">
        <v>0.05165450000000001</v>
      </c>
      <c r="C35" s="16">
        <v>0.0587225</v>
      </c>
      <c r="D35" s="16">
        <v>0.04152749999999999</v>
      </c>
      <c r="E35" s="16">
        <v>0.0469635</v>
      </c>
      <c r="F35" s="16">
        <v>0.07190699999999998</v>
      </c>
      <c r="G35" s="16">
        <v>0.051895</v>
      </c>
      <c r="H35" s="16">
        <v>0.059085</v>
      </c>
      <c r="I35" s="16">
        <v>0.04182</v>
      </c>
      <c r="J35" s="16">
        <v>0.046965</v>
      </c>
      <c r="K35" s="16">
        <v>0.072115</v>
      </c>
      <c r="L35" s="16">
        <v>0.002409671087513813</v>
      </c>
      <c r="M35" s="16">
        <v>0.001396394911907086</v>
      </c>
      <c r="N35" s="16">
        <v>0.002376762240948808</v>
      </c>
      <c r="O35" s="16">
        <v>9.538095984000163E-4</v>
      </c>
      <c r="P35" s="16">
        <v>0.003903779066494413</v>
      </c>
      <c r="Q35" s="16">
        <v>0.0382825</v>
      </c>
      <c r="R35" s="16">
        <v>0.04318</v>
      </c>
      <c r="S35" s="16">
        <v>0.029755</v>
      </c>
      <c r="T35" s="16">
        <v>0.032919</v>
      </c>
      <c r="U35" s="16">
        <v>0.05593549999999999</v>
      </c>
      <c r="V35" s="16">
        <v>0.038855</v>
      </c>
      <c r="W35" s="16">
        <v>0.043485</v>
      </c>
      <c r="X35" s="16">
        <v>0.029715</v>
      </c>
      <c r="Y35" s="16">
        <v>0.03306</v>
      </c>
      <c r="Z35" s="16">
        <v>0.055725</v>
      </c>
      <c r="AA35" s="15">
        <v>0.001626634178295784</v>
      </c>
      <c r="AB35" s="16">
        <v>0.001335215338437962</v>
      </c>
      <c r="AC35" s="16">
        <v>0.002181122417472252</v>
      </c>
      <c r="AD35" s="16">
        <v>0.001117264069054403</v>
      </c>
      <c r="AE35" s="16">
        <v>0.003753107345920177</v>
      </c>
      <c r="AG35" s="17" t="s">
        <v>53</v>
      </c>
      <c r="AH35" s="17" t="s">
        <v>53</v>
      </c>
      <c r="AI35" s="16">
        <v>1.16953</v>
      </c>
      <c r="AJ35" s="16">
        <v>0.91656</v>
      </c>
      <c r="AK35" s="16">
        <v>0.44015</v>
      </c>
      <c r="AL35" s="16">
        <v>1.06888</v>
      </c>
    </row>
    <row r="36">
      <c r="A36" s="14" t="s">
        <v>48</v>
      </c>
      <c r="B36" s="15">
        <v>0.0639795</v>
      </c>
      <c r="C36" s="16">
        <v>0.069572</v>
      </c>
      <c r="D36" s="16">
        <v>0.05327649999999999</v>
      </c>
      <c r="E36" s="16">
        <v>0.05789799999999999</v>
      </c>
      <c r="F36" s="16">
        <v>0.07543849999999999</v>
      </c>
      <c r="G36" s="16">
        <v>0.06362000000000001</v>
      </c>
      <c r="H36" s="16">
        <v>0.069455</v>
      </c>
      <c r="I36" s="16">
        <v>0.05399</v>
      </c>
      <c r="J36" s="16">
        <v>0.058315</v>
      </c>
      <c r="K36" s="16">
        <v>0.074085</v>
      </c>
      <c r="L36" s="16">
        <v>0.002876430904784608</v>
      </c>
      <c r="M36" s="16">
        <v>0.001784672518979321</v>
      </c>
      <c r="N36" s="16">
        <v>0.002724348133040269</v>
      </c>
      <c r="O36" s="16">
        <v>0.002285179642828984</v>
      </c>
      <c r="P36" s="16">
        <v>0.007483677087501838</v>
      </c>
      <c r="Q36" s="16">
        <v>0.03765349999999999</v>
      </c>
      <c r="R36" s="16">
        <v>0.0424785</v>
      </c>
      <c r="S36" s="16">
        <v>0.0307355</v>
      </c>
      <c r="T36" s="16">
        <v>0.033306</v>
      </c>
      <c r="U36" s="16">
        <v>0.054889</v>
      </c>
      <c r="V36" s="16">
        <v>0.03768000000000001</v>
      </c>
      <c r="W36" s="16">
        <v>0.042715</v>
      </c>
      <c r="X36" s="16">
        <v>0.03091</v>
      </c>
      <c r="Y36" s="16">
        <v>0.03311</v>
      </c>
      <c r="Z36" s="16">
        <v>0.055655</v>
      </c>
      <c r="AA36" s="15">
        <v>0.001508032741686997</v>
      </c>
      <c r="AB36" s="16">
        <v>0.001146548189131185</v>
      </c>
      <c r="AC36" s="16">
        <v>0.001865667373890641</v>
      </c>
      <c r="AD36" s="16">
        <v>9.791598439478615E-4</v>
      </c>
      <c r="AE36" s="16">
        <v>0.004288457648152772</v>
      </c>
      <c r="AG36" s="16">
        <v>0.89281</v>
      </c>
      <c r="AH36" s="16">
        <v>0.41196</v>
      </c>
      <c r="AI36" s="16">
        <v>1.10995</v>
      </c>
      <c r="AJ36" s="16">
        <v>0.89751</v>
      </c>
      <c r="AK36" s="16">
        <v>0.50466</v>
      </c>
      <c r="AL36" s="16">
        <v>0.96492</v>
      </c>
    </row>
    <row r="37">
      <c r="A37" s="14" t="s">
        <v>49</v>
      </c>
      <c r="B37" s="15">
        <v>0.0582885</v>
      </c>
      <c r="C37" s="16">
        <v>0.0644095</v>
      </c>
      <c r="D37" s="16">
        <v>0.049856</v>
      </c>
      <c r="E37" s="16">
        <v>0.05300249999999999</v>
      </c>
      <c r="F37" s="16">
        <v>0.078786</v>
      </c>
      <c r="G37" s="16">
        <v>0.058705</v>
      </c>
      <c r="H37" s="16">
        <v>0.06459000000000001</v>
      </c>
      <c r="I37" s="16">
        <v>0.05024</v>
      </c>
      <c r="J37" s="16">
        <v>0.05322499999999999</v>
      </c>
      <c r="K37" s="16">
        <v>0.07803</v>
      </c>
      <c r="L37" s="16">
        <v>0.001694742679582951</v>
      </c>
      <c r="M37" s="16">
        <v>0.001481824804084478</v>
      </c>
      <c r="N37" s="16">
        <v>0.002727204429447854</v>
      </c>
      <c r="O37" s="16">
        <v>0.001494516226074511</v>
      </c>
      <c r="P37" s="16">
        <v>0.004723177320406253</v>
      </c>
      <c r="Q37" s="16">
        <v>0.04833950000000001</v>
      </c>
      <c r="R37" s="16">
        <v>0.05406699999999999</v>
      </c>
      <c r="S37" s="16">
        <v>0.039446</v>
      </c>
      <c r="T37" s="16">
        <v>0.04364350000000001</v>
      </c>
      <c r="U37" s="16">
        <v>0.06551300000000002</v>
      </c>
      <c r="V37" s="16">
        <v>0.048285</v>
      </c>
      <c r="W37" s="16">
        <v>0.054345</v>
      </c>
      <c r="X37" s="16">
        <v>0.039445</v>
      </c>
      <c r="Y37" s="16">
        <v>0.043655</v>
      </c>
      <c r="Z37" s="16">
        <v>0.06436</v>
      </c>
      <c r="AA37" s="15">
        <v>0.00225465180238546</v>
      </c>
      <c r="AB37" s="16">
        <v>0.001417984837718656</v>
      </c>
      <c r="AC37" s="16">
        <v>0.002039042422314945</v>
      </c>
      <c r="AD37" s="16">
        <v>0.001346217942979517</v>
      </c>
      <c r="AE37" s="16">
        <v>0.005377944867698069</v>
      </c>
      <c r="AG37" s="16">
        <v>0.91737</v>
      </c>
      <c r="AH37" s="16">
        <v>0.44754</v>
      </c>
      <c r="AI37" s="16">
        <v>1.07068</v>
      </c>
      <c r="AJ37" s="16">
        <v>0.97081</v>
      </c>
      <c r="AK37" s="16">
        <v>0.5474</v>
      </c>
      <c r="AL37" s="16">
        <v>1.01976</v>
      </c>
    </row>
    <row r="38">
      <c r="A38" s="14" t="s">
        <v>50</v>
      </c>
      <c r="B38" s="15">
        <v>0.04232600000000001</v>
      </c>
      <c r="C38" s="16">
        <v>0.048063</v>
      </c>
      <c r="D38" s="16">
        <v>0.03698250000000001</v>
      </c>
      <c r="E38" s="16">
        <v>0.03918100000000001</v>
      </c>
      <c r="F38" s="16">
        <v>0.0608205</v>
      </c>
      <c r="G38" s="16">
        <v>0.04262</v>
      </c>
      <c r="H38" s="16">
        <v>0.04792</v>
      </c>
      <c r="I38" s="16">
        <v>0.03645</v>
      </c>
      <c r="J38" s="16">
        <v>0.039195</v>
      </c>
      <c r="K38" s="16">
        <v>0.06025</v>
      </c>
      <c r="L38" s="16">
        <v>0.001438691766849314</v>
      </c>
      <c r="M38" s="16">
        <v>0.001107348635254498</v>
      </c>
      <c r="N38" s="16">
        <v>0.002673557321248227</v>
      </c>
      <c r="O38" s="16">
        <v>0.001102328898287621</v>
      </c>
      <c r="P38" s="16">
        <v>0.004349195873951875</v>
      </c>
      <c r="Q38" s="16">
        <v>0.040529</v>
      </c>
      <c r="R38" s="16">
        <v>0.0447575</v>
      </c>
      <c r="S38" s="16">
        <v>0.030138</v>
      </c>
      <c r="T38" s="16">
        <v>0.0342165</v>
      </c>
      <c r="U38" s="16">
        <v>0.05761050000000001</v>
      </c>
      <c r="V38" s="16">
        <v>0.040755</v>
      </c>
      <c r="W38" s="16">
        <v>0.04473000000000001</v>
      </c>
      <c r="X38" s="16">
        <v>0.02958</v>
      </c>
      <c r="Y38" s="16">
        <v>0.034125</v>
      </c>
      <c r="Z38" s="16">
        <v>0.05734</v>
      </c>
      <c r="AA38" s="15">
        <v>0.001694417008885357</v>
      </c>
      <c r="AB38" s="16">
        <v>8.770910728082917E-4</v>
      </c>
      <c r="AC38" s="16">
        <v>0.002057944605668481</v>
      </c>
      <c r="AD38" s="16">
        <v>0.001317437949202921</v>
      </c>
      <c r="AE38" s="16">
        <v>0.003510415181997708</v>
      </c>
      <c r="AG38" s="16">
        <v>0.90716</v>
      </c>
      <c r="AH38" s="16">
        <v>0.40096</v>
      </c>
      <c r="AI38" s="16">
        <v>1.12481</v>
      </c>
      <c r="AJ38" s="16">
        <v>0.97682</v>
      </c>
      <c r="AK38" s="16">
        <v>0.5202</v>
      </c>
      <c r="AL38" s="16">
        <v>1.06627</v>
      </c>
    </row>
    <row r="39">
      <c r="A39" s="14" t="s">
        <v>51</v>
      </c>
      <c r="B39" s="15">
        <v>0.04538349999999999</v>
      </c>
      <c r="C39" s="16">
        <v>0.05037899999999999</v>
      </c>
      <c r="D39" s="16">
        <v>0.036995</v>
      </c>
      <c r="E39" s="16">
        <v>0.04150750000000001</v>
      </c>
      <c r="F39" s="16">
        <v>0.063881</v>
      </c>
      <c r="G39" s="16">
        <v>0.04533</v>
      </c>
      <c r="H39" s="16">
        <v>0.050635</v>
      </c>
      <c r="I39" s="16">
        <v>0.037515</v>
      </c>
      <c r="J39" s="16">
        <v>0.04161</v>
      </c>
      <c r="K39" s="16">
        <v>0.063065</v>
      </c>
      <c r="L39" s="16">
        <v>0.001587520944743722</v>
      </c>
      <c r="M39" s="16">
        <v>0.001342657439557835</v>
      </c>
      <c r="N39" s="16">
        <v>0.002409548712933606</v>
      </c>
      <c r="O39" s="16">
        <v>0.001502118087901214</v>
      </c>
      <c r="P39" s="16">
        <v>0.00425577948206906</v>
      </c>
      <c r="Q39" s="16">
        <v>0.025294</v>
      </c>
      <c r="R39" s="16">
        <v>0.03174999999999999</v>
      </c>
      <c r="S39" s="16">
        <v>0.0177235</v>
      </c>
      <c r="T39" s="16">
        <v>0.0224915</v>
      </c>
      <c r="U39" s="16">
        <v>0.0465395</v>
      </c>
      <c r="V39" s="16">
        <v>0.025375</v>
      </c>
      <c r="W39" s="16">
        <v>0.03182</v>
      </c>
      <c r="X39" s="16">
        <v>0.017495</v>
      </c>
      <c r="Y39" s="16">
        <v>0.02257</v>
      </c>
      <c r="Z39" s="16">
        <v>0.04648</v>
      </c>
      <c r="AA39" s="15">
        <v>9.515849935765067E-4</v>
      </c>
      <c r="AB39" s="16">
        <v>4.896937818678114E-4</v>
      </c>
      <c r="AC39" s="16">
        <v>0.00239315748541545</v>
      </c>
      <c r="AD39" s="16">
        <v>0.001256145990719232</v>
      </c>
      <c r="AE39" s="16">
        <v>0.003325556306845519</v>
      </c>
      <c r="AG39" s="16">
        <v>0.9453</v>
      </c>
      <c r="AH39" s="16">
        <v>0.41628</v>
      </c>
      <c r="AI39" s="16">
        <v>1.18023</v>
      </c>
      <c r="AJ39" s="16">
        <v>0.9481</v>
      </c>
      <c r="AK39" s="16">
        <v>0.48616</v>
      </c>
      <c r="AL39" s="16">
        <v>1.08683</v>
      </c>
    </row>
    <row r="40">
      <c r="A40" s="14" t="s">
        <v>52</v>
      </c>
      <c r="B40" s="15">
        <v>0.03854850000000001</v>
      </c>
      <c r="C40" s="16">
        <v>0.04305749999999999</v>
      </c>
      <c r="D40" s="16">
        <v>0.0363835</v>
      </c>
      <c r="E40" s="16">
        <v>0.0370805</v>
      </c>
      <c r="F40" s="16">
        <v>0.046079</v>
      </c>
      <c r="G40" s="16">
        <v>0.038695</v>
      </c>
      <c r="H40" s="16">
        <v>0.04308</v>
      </c>
      <c r="I40" s="16">
        <v>0.03673999999999999</v>
      </c>
      <c r="J40" s="16">
        <v>0.03686499999999999</v>
      </c>
      <c r="K40" s="16">
        <v>0.04595</v>
      </c>
      <c r="L40" s="16">
        <v>0.001179551927640323</v>
      </c>
      <c r="M40" s="16">
        <v>7.95687595730887E-4</v>
      </c>
      <c r="N40" s="16">
        <v>0.002404608647992434</v>
      </c>
      <c r="O40" s="16">
        <v>0.001185776011732402</v>
      </c>
      <c r="P40" s="16">
        <v>0.002939824654635034</v>
      </c>
      <c r="Q40" s="16">
        <v>0.03768049999999999</v>
      </c>
      <c r="R40" s="16">
        <v>0.040986</v>
      </c>
      <c r="S40" s="16">
        <v>0.0335635</v>
      </c>
      <c r="T40" s="16">
        <v>0.03494000000000001</v>
      </c>
      <c r="U40" s="16">
        <v>0.0417075</v>
      </c>
      <c r="V40" s="16">
        <v>0.037495</v>
      </c>
      <c r="W40" s="16">
        <v>0.04098</v>
      </c>
      <c r="X40" s="16">
        <v>0.033775</v>
      </c>
      <c r="Y40" s="16">
        <v>0.03488</v>
      </c>
      <c r="Z40" s="16">
        <v>0.04141</v>
      </c>
      <c r="AA40" s="15">
        <v>0.001485259152471379</v>
      </c>
      <c r="AB40" s="16">
        <v>0.001613370385249463</v>
      </c>
      <c r="AC40" s="16">
        <v>0.002121405842831587</v>
      </c>
      <c r="AD40" s="16">
        <v>0.001773575484720061</v>
      </c>
      <c r="AE40" s="16">
        <v>0.003337940794861407</v>
      </c>
      <c r="AG40" s="16">
        <v>1.01276</v>
      </c>
      <c r="AH40" s="16">
        <v>0.64093</v>
      </c>
      <c r="AI40" s="16">
        <v>1.15308</v>
      </c>
      <c r="AJ40" s="16">
        <v>0.99956</v>
      </c>
      <c r="AK40" s="16">
        <v>0.55024</v>
      </c>
      <c r="AL40" s="16">
        <v>1.15714</v>
      </c>
    </row>
    <row r="41">
      <c r="A41" s="14" t="s">
        <v>54</v>
      </c>
      <c r="B41" s="15">
        <v>0.0453925</v>
      </c>
      <c r="C41" s="16">
        <v>0.0498165</v>
      </c>
      <c r="D41" s="16">
        <v>0.04195649999999999</v>
      </c>
      <c r="E41" s="16">
        <v>0.0428375</v>
      </c>
      <c r="F41" s="16">
        <v>0.054086</v>
      </c>
      <c r="G41" s="16">
        <v>0.04568</v>
      </c>
      <c r="H41" s="16">
        <v>0.050065</v>
      </c>
      <c r="I41" s="16">
        <v>0.04204</v>
      </c>
      <c r="J41" s="16">
        <v>0.04283</v>
      </c>
      <c r="K41" s="16">
        <v>0.0529</v>
      </c>
      <c r="L41" s="16">
        <v>0.002129386942291138</v>
      </c>
      <c r="M41" s="16">
        <v>0.001220279783492294</v>
      </c>
      <c r="N41" s="16">
        <v>0.001684824248994535</v>
      </c>
      <c r="O41" s="16">
        <v>0.001135583000048874</v>
      </c>
      <c r="P41" s="16">
        <v>0.007078907684099293</v>
      </c>
      <c r="Q41" s="16">
        <v>0.03469799999999999</v>
      </c>
      <c r="R41" s="16">
        <v>0.03870899999999999</v>
      </c>
      <c r="S41" s="16">
        <v>0.032231</v>
      </c>
      <c r="T41" s="16">
        <v>0.03286799999999999</v>
      </c>
      <c r="U41" s="16">
        <v>0.040915</v>
      </c>
      <c r="V41" s="16">
        <v>0.034995</v>
      </c>
      <c r="W41" s="16">
        <v>0.03886</v>
      </c>
      <c r="X41" s="16">
        <v>0.03251</v>
      </c>
      <c r="Y41" s="16">
        <v>0.03291</v>
      </c>
      <c r="Z41" s="16">
        <v>0.040575</v>
      </c>
      <c r="AA41" s="15">
        <v>0.001583387507845126</v>
      </c>
      <c r="AB41" s="16">
        <v>0.001299095454537502</v>
      </c>
      <c r="AC41" s="16">
        <v>0.001799946943662507</v>
      </c>
      <c r="AD41" s="16">
        <v>9.38374125815498E-4</v>
      </c>
      <c r="AE41" s="16">
        <v>0.002744371512751143</v>
      </c>
      <c r="AG41" s="16">
        <v>0.9749</v>
      </c>
      <c r="AH41" s="16">
        <v>0.5581</v>
      </c>
      <c r="AI41" s="16">
        <v>1.12857</v>
      </c>
      <c r="AJ41" s="16">
        <v>0.99863</v>
      </c>
      <c r="AK41" s="16">
        <v>0.60036</v>
      </c>
      <c r="AL41" s="16">
        <v>1.14297</v>
      </c>
    </row>
    <row r="42">
      <c r="A42" s="14" t="s">
        <v>55</v>
      </c>
      <c r="B42" s="15">
        <v>0.040309</v>
      </c>
      <c r="C42" s="16">
        <v>0.0447725</v>
      </c>
      <c r="D42" s="16">
        <v>0.038322</v>
      </c>
      <c r="E42" s="16">
        <v>0.038857</v>
      </c>
      <c r="F42" s="16">
        <v>0.0470595</v>
      </c>
      <c r="G42" s="16">
        <v>0.040185</v>
      </c>
      <c r="H42" s="16">
        <v>0.045095</v>
      </c>
      <c r="I42" s="16">
        <v>0.03851</v>
      </c>
      <c r="J42" s="16">
        <v>0.039085</v>
      </c>
      <c r="K42" s="16">
        <v>0.046215</v>
      </c>
      <c r="L42" s="16">
        <v>0.001592061242540625</v>
      </c>
      <c r="M42" s="16">
        <v>0.001087882691286152</v>
      </c>
      <c r="N42" s="16">
        <v>0.002238098746704444</v>
      </c>
      <c r="O42" s="16">
        <v>0.001110945993286801</v>
      </c>
      <c r="P42" s="16">
        <v>0.003459398032895318</v>
      </c>
      <c r="Q42" s="16">
        <v>0.023728</v>
      </c>
      <c r="R42" s="16">
        <v>0.027812</v>
      </c>
      <c r="S42" s="16">
        <v>0.0229455</v>
      </c>
      <c r="T42" s="16">
        <v>0.0229175</v>
      </c>
      <c r="U42" s="16">
        <v>0.0345525</v>
      </c>
      <c r="V42" s="16">
        <v>0.023525</v>
      </c>
      <c r="W42" s="16">
        <v>0.027765</v>
      </c>
      <c r="X42" s="16">
        <v>0.02326</v>
      </c>
      <c r="Y42" s="16">
        <v>0.022995</v>
      </c>
      <c r="Z42" s="16">
        <v>0.034445</v>
      </c>
      <c r="AA42" s="15">
        <v>8.462718239431112E-4</v>
      </c>
      <c r="AB42" s="16">
        <v>6.077631117466736E-4</v>
      </c>
      <c r="AC42" s="16">
        <v>0.001261286941976329</v>
      </c>
      <c r="AD42" s="16">
        <v>8.524017538696173E-4</v>
      </c>
      <c r="AE42" s="16">
        <v>0.001184018053071828</v>
      </c>
      <c r="AG42" s="16">
        <v>0.97951</v>
      </c>
      <c r="AH42" s="16">
        <v>0.52104</v>
      </c>
      <c r="AI42" s="16">
        <v>1.21231</v>
      </c>
      <c r="AJ42" s="16">
        <v>0.99301</v>
      </c>
      <c r="AK42" s="16">
        <v>0.58336</v>
      </c>
      <c r="AL42" s="16">
        <v>1.14018</v>
      </c>
    </row>
    <row r="43">
      <c r="A43" s="14" t="s">
        <v>56</v>
      </c>
      <c r="B43" s="15">
        <v>0.03390449999999999</v>
      </c>
      <c r="C43" s="16">
        <v>0.04023</v>
      </c>
      <c r="D43" s="16">
        <v>0.0340145</v>
      </c>
      <c r="E43" s="16">
        <v>0.033431</v>
      </c>
      <c r="F43" s="16">
        <v>0.04506799999999999</v>
      </c>
      <c r="G43" s="16">
        <v>0.03392</v>
      </c>
      <c r="H43" s="16">
        <v>0.040265</v>
      </c>
      <c r="I43" s="16">
        <v>0.034115</v>
      </c>
      <c r="J43" s="16">
        <v>0.033315</v>
      </c>
      <c r="K43" s="16">
        <v>0.04535</v>
      </c>
      <c r="L43" s="16">
        <v>0.001341034954801701</v>
      </c>
      <c r="M43" s="16">
        <v>0.001119718714677933</v>
      </c>
      <c r="N43" s="16">
        <v>0.001781003860186721</v>
      </c>
      <c r="O43" s="16">
        <v>9.390628306987767E-4</v>
      </c>
      <c r="P43" s="16">
        <v>0.002960940053428977</v>
      </c>
      <c r="Q43" s="16">
        <v>0.0312515</v>
      </c>
      <c r="R43" s="16">
        <v>0.036744</v>
      </c>
      <c r="S43" s="16">
        <v>0.0300205</v>
      </c>
      <c r="T43" s="16">
        <v>0.030144</v>
      </c>
      <c r="U43" s="16">
        <v>0.042711</v>
      </c>
      <c r="V43" s="16">
        <v>0.03109</v>
      </c>
      <c r="W43" s="16">
        <v>0.03689</v>
      </c>
      <c r="X43" s="16">
        <v>0.03003</v>
      </c>
      <c r="Y43" s="16">
        <v>0.03015</v>
      </c>
      <c r="Z43" s="16">
        <v>0.04299500000000001</v>
      </c>
      <c r="AA43" s="15">
        <v>0.001304201959053889</v>
      </c>
      <c r="AB43" s="16">
        <v>8.092737484930544E-4</v>
      </c>
      <c r="AC43" s="16">
        <v>0.001692316385904244</v>
      </c>
      <c r="AD43" s="16">
        <v>9.978446772920119E-4</v>
      </c>
      <c r="AE43" s="16">
        <v>0.003189838397160583</v>
      </c>
      <c r="AG43" s="16">
        <v>1.03189</v>
      </c>
      <c r="AH43" s="16">
        <v>0.62593</v>
      </c>
      <c r="AI43" s="16">
        <v>1.15098</v>
      </c>
      <c r="AJ43" s="16">
        <v>0.97896</v>
      </c>
      <c r="AK43" s="16">
        <v>0.558</v>
      </c>
      <c r="AL43" s="16">
        <v>1.14054</v>
      </c>
    </row>
    <row r="44">
      <c r="A44" s="14" t="s">
        <v>57</v>
      </c>
      <c r="B44" s="15">
        <v>0.0348265</v>
      </c>
      <c r="C44" s="16">
        <v>0.0385365</v>
      </c>
      <c r="D44" s="16">
        <v>0.03422799999999999</v>
      </c>
      <c r="E44" s="16">
        <v>0.0337205</v>
      </c>
      <c r="F44" s="16">
        <v>0.04346</v>
      </c>
      <c r="G44" s="16">
        <v>0.03510000000000001</v>
      </c>
      <c r="H44" s="16">
        <v>0.038595</v>
      </c>
      <c r="I44" s="16">
        <v>0.034125</v>
      </c>
      <c r="J44" s="16">
        <v>0.03355</v>
      </c>
      <c r="K44" s="16">
        <v>0.04246</v>
      </c>
      <c r="L44" s="16">
        <v>0.00112035831321948</v>
      </c>
      <c r="M44" s="16">
        <v>8.855014116307207E-4</v>
      </c>
      <c r="N44" s="16">
        <v>0.001666711132740164</v>
      </c>
      <c r="O44" s="16">
        <v>9.737118413575958E-4</v>
      </c>
      <c r="P44" s="16">
        <v>0.004077786164084625</v>
      </c>
      <c r="Q44" s="16">
        <v>0.016726</v>
      </c>
      <c r="R44" s="16">
        <v>0.0215855</v>
      </c>
      <c r="S44" s="16">
        <v>0.016298</v>
      </c>
      <c r="T44" s="16">
        <v>0.0165025</v>
      </c>
      <c r="U44" s="16">
        <v>0.03045</v>
      </c>
      <c r="V44" s="16">
        <v>0.01667</v>
      </c>
      <c r="W44" s="16">
        <v>0.0214</v>
      </c>
      <c r="X44" s="16">
        <v>0.016405</v>
      </c>
      <c r="Y44" s="16">
        <v>0.01651</v>
      </c>
      <c r="Z44" s="16">
        <v>0.030385</v>
      </c>
      <c r="AA44" s="15">
        <v>7.143626529991613E-4</v>
      </c>
      <c r="AB44" s="16">
        <v>8.326011950507879E-4</v>
      </c>
      <c r="AC44" s="16">
        <v>0.001121158329585969</v>
      </c>
      <c r="AD44" s="16">
        <v>6.22493975874466E-4</v>
      </c>
      <c r="AE44" s="16">
        <v>0.002308902336609325</v>
      </c>
      <c r="AG44" s="16">
        <v>0.96837</v>
      </c>
      <c r="AH44" s="16">
        <v>0.37076</v>
      </c>
      <c r="AI44" s="16">
        <v>1.21483</v>
      </c>
      <c r="AJ44" s="16">
        <v>0.99019</v>
      </c>
      <c r="AK44" s="16">
        <v>0.60649</v>
      </c>
      <c r="AL44" s="16">
        <v>1.12292</v>
      </c>
    </row>
    <row r="45">
      <c r="A45" s="14" t="s">
        <v>58</v>
      </c>
      <c r="B45" s="15">
        <v>0.033644</v>
      </c>
      <c r="C45" s="16">
        <v>0.0392695</v>
      </c>
      <c r="D45" s="16">
        <v>0.03297599999999999</v>
      </c>
      <c r="E45" s="16">
        <v>0.0329785</v>
      </c>
      <c r="F45" s="16">
        <v>0.0440725</v>
      </c>
      <c r="G45" s="16">
        <v>0.03352</v>
      </c>
      <c r="H45" s="16">
        <v>0.039215</v>
      </c>
      <c r="I45" s="16">
        <v>0.032945</v>
      </c>
      <c r="J45" s="16">
        <v>0.03265</v>
      </c>
      <c r="K45" s="16">
        <v>0.04418</v>
      </c>
      <c r="L45" s="16">
        <v>0.001174748483718961</v>
      </c>
      <c r="M45" s="16">
        <v>9.433794305580336E-4</v>
      </c>
      <c r="N45" s="16">
        <v>0.001730018497010942</v>
      </c>
      <c r="O45" s="16">
        <v>9.02503601100849E-4</v>
      </c>
      <c r="P45" s="16">
        <v>0.003201699353468404</v>
      </c>
      <c r="Q45" s="16">
        <v>0.01955850000000001</v>
      </c>
      <c r="R45" s="16">
        <v>0.023598</v>
      </c>
      <c r="S45" s="16">
        <v>0.0174455</v>
      </c>
      <c r="T45" s="16">
        <v>0.018153</v>
      </c>
      <c r="U45" s="16">
        <v>0.030881</v>
      </c>
      <c r="V45" s="16">
        <v>0.019855</v>
      </c>
      <c r="W45" s="16">
        <v>0.02341</v>
      </c>
      <c r="X45" s="16">
        <v>0.01733</v>
      </c>
      <c r="Y45" s="16">
        <v>0.01828</v>
      </c>
      <c r="Z45" s="16">
        <v>0.03067</v>
      </c>
      <c r="AA45" s="15">
        <v>0.001200667626781034</v>
      </c>
      <c r="AB45" s="16">
        <v>6.686972409095165E-4</v>
      </c>
      <c r="AC45" s="16">
        <v>0.001507698494394685</v>
      </c>
      <c r="AD45" s="16">
        <v>8.823780368980181E-4</v>
      </c>
      <c r="AE45" s="16">
        <v>0.002015070470231748</v>
      </c>
      <c r="AG45" s="16">
        <v>0.94655</v>
      </c>
      <c r="AH45" s="16">
        <v>0.37233</v>
      </c>
      <c r="AI45" s="16">
        <v>1.18588</v>
      </c>
      <c r="AJ45" s="16">
        <v>1.02819</v>
      </c>
      <c r="AK45" s="16">
        <v>0.60306</v>
      </c>
      <c r="AL45" s="16">
        <v>1.15662</v>
      </c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</sheetData>
  <mergeCells count="11">
    <mergeCell ref="L2:P2"/>
    <mergeCell ref="Q2:U2"/>
    <mergeCell ref="V2:Z2"/>
    <mergeCell ref="AA2:AE2"/>
    <mergeCell ref="A1:A3"/>
    <mergeCell ref="B1:P1"/>
    <mergeCell ref="Q1:AE1"/>
    <mergeCell ref="AG1:AI1"/>
    <mergeCell ref="AJ1:AL1"/>
    <mergeCell ref="B2:F2"/>
    <mergeCell ref="G2:K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Q1" s="3" t="s">
        <v>2</v>
      </c>
      <c r="AF1" s="4"/>
      <c r="AG1" s="5" t="s">
        <v>3</v>
      </c>
      <c r="AH1" s="6"/>
      <c r="AI1" s="7"/>
      <c r="AJ1" s="5" t="s">
        <v>4</v>
      </c>
      <c r="AK1" s="6"/>
      <c r="AL1" s="7"/>
    </row>
    <row r="2">
      <c r="B2" s="8" t="s">
        <v>5</v>
      </c>
      <c r="G2" s="8" t="s">
        <v>6</v>
      </c>
      <c r="L2" s="8" t="s">
        <v>7</v>
      </c>
      <c r="Q2" s="3" t="s">
        <v>5</v>
      </c>
      <c r="V2" s="3" t="s">
        <v>6</v>
      </c>
      <c r="AA2" s="3" t="s">
        <v>7</v>
      </c>
      <c r="AF2" s="4"/>
      <c r="AG2" s="9" t="s">
        <v>8</v>
      </c>
      <c r="AH2" s="9" t="s">
        <v>9</v>
      </c>
      <c r="AI2" s="9" t="s">
        <v>10</v>
      </c>
      <c r="AJ2" s="9" t="s">
        <v>8</v>
      </c>
      <c r="AK2" s="9" t="s">
        <v>9</v>
      </c>
      <c r="AL2" s="9" t="s">
        <v>10</v>
      </c>
    </row>
    <row r="3">
      <c r="B3" s="10" t="s">
        <v>11</v>
      </c>
      <c r="C3" s="10" t="s">
        <v>12</v>
      </c>
      <c r="D3" s="10" t="s">
        <v>13</v>
      </c>
      <c r="E3" s="10" t="s">
        <v>59</v>
      </c>
      <c r="F3" s="10" t="s">
        <v>15</v>
      </c>
      <c r="G3" s="10" t="s">
        <v>11</v>
      </c>
      <c r="H3" s="10" t="s">
        <v>12</v>
      </c>
      <c r="I3" s="10" t="s">
        <v>13</v>
      </c>
      <c r="J3" s="10" t="s">
        <v>59</v>
      </c>
      <c r="K3" s="10" t="s">
        <v>15</v>
      </c>
      <c r="L3" s="10" t="s">
        <v>11</v>
      </c>
      <c r="M3" s="10" t="s">
        <v>12</v>
      </c>
      <c r="N3" s="10" t="s">
        <v>13</v>
      </c>
      <c r="O3" s="10" t="s">
        <v>59</v>
      </c>
      <c r="P3" s="10" t="s">
        <v>15</v>
      </c>
      <c r="Q3" s="11" t="s">
        <v>11</v>
      </c>
      <c r="R3" s="11" t="s">
        <v>12</v>
      </c>
      <c r="S3" s="11" t="s">
        <v>13</v>
      </c>
      <c r="T3" s="11" t="s">
        <v>59</v>
      </c>
      <c r="U3" s="11" t="s">
        <v>15</v>
      </c>
      <c r="V3" s="11" t="s">
        <v>11</v>
      </c>
      <c r="W3" s="11" t="s">
        <v>12</v>
      </c>
      <c r="X3" s="11" t="s">
        <v>13</v>
      </c>
      <c r="Y3" s="11" t="s">
        <v>59</v>
      </c>
      <c r="Z3" s="11" t="s">
        <v>15</v>
      </c>
      <c r="AA3" s="11" t="s">
        <v>11</v>
      </c>
      <c r="AB3" s="11" t="s">
        <v>12</v>
      </c>
      <c r="AC3" s="11" t="s">
        <v>13</v>
      </c>
      <c r="AD3" s="11" t="s">
        <v>59</v>
      </c>
      <c r="AE3" s="11" t="s">
        <v>15</v>
      </c>
      <c r="AF3" s="12"/>
      <c r="AG3" s="13"/>
      <c r="AH3" s="13"/>
      <c r="AI3" s="13"/>
      <c r="AJ3" s="13"/>
      <c r="AK3" s="13"/>
      <c r="AL3" s="13"/>
    </row>
    <row r="4">
      <c r="A4" s="14" t="s">
        <v>16</v>
      </c>
      <c r="B4" s="15">
        <v>0.00169830803</v>
      </c>
      <c r="C4" s="16">
        <v>0.026067057937</v>
      </c>
      <c r="D4" s="16">
        <v>0.007005278720050001</v>
      </c>
      <c r="E4" s="16">
        <v>0.00169830803</v>
      </c>
      <c r="F4" s="16">
        <v>0.0066439263667</v>
      </c>
      <c r="G4" s="16">
        <v>0.00169830803</v>
      </c>
      <c r="H4" s="16">
        <v>0.023849209665</v>
      </c>
      <c r="I4" s="16">
        <v>0.009385376908</v>
      </c>
      <c r="J4" s="16">
        <v>0.00169830803</v>
      </c>
      <c r="K4" s="16">
        <v>0.00169830803</v>
      </c>
      <c r="L4" s="16">
        <v>2.168404344971009E-19</v>
      </c>
      <c r="M4" s="16">
        <v>0.005393390570877089</v>
      </c>
      <c r="N4" s="16">
        <v>0.003481178742720298</v>
      </c>
      <c r="O4" s="16">
        <v>2.168404344971009E-19</v>
      </c>
      <c r="P4" s="16">
        <v>0.007686429694025578</v>
      </c>
      <c r="Q4" s="15">
        <v>0.0</v>
      </c>
      <c r="R4" s="15">
        <v>0.015763060929695</v>
      </c>
      <c r="S4" s="15">
        <v>3.226166151E-4</v>
      </c>
      <c r="T4" s="15">
        <v>0.0</v>
      </c>
      <c r="U4" s="15">
        <v>0.03143357705699999</v>
      </c>
      <c r="V4" s="15">
        <v>0.0</v>
      </c>
      <c r="W4" s="15">
        <v>0.01487439276</v>
      </c>
      <c r="X4" s="15">
        <v>0.0</v>
      </c>
      <c r="Y4" s="15">
        <v>0.0</v>
      </c>
      <c r="Z4" s="15">
        <v>0.03037994156</v>
      </c>
      <c r="AA4" s="15">
        <v>0.0</v>
      </c>
      <c r="AB4" s="16">
        <v>0.006895707906903287</v>
      </c>
      <c r="AC4" s="16">
        <v>9.678498453000001E-4</v>
      </c>
      <c r="AD4" s="16">
        <v>0.0</v>
      </c>
      <c r="AE4" s="16">
        <v>0.003440000517940414</v>
      </c>
      <c r="AG4" s="16">
        <v>0.5997097073</v>
      </c>
      <c r="AH4" s="16">
        <v>0.5997097073</v>
      </c>
      <c r="AI4" s="16">
        <v>0.05155407894</v>
      </c>
      <c r="AJ4" s="16">
        <v>0.6622728158</v>
      </c>
      <c r="AK4" s="16">
        <v>0.6622728158</v>
      </c>
      <c r="AL4" s="16">
        <v>0.07474696332</v>
      </c>
    </row>
    <row r="5">
      <c r="A5" s="14" t="s">
        <v>17</v>
      </c>
      <c r="B5" s="15">
        <v>0.0</v>
      </c>
      <c r="C5" s="16">
        <v>0.026077196206</v>
      </c>
      <c r="D5" s="16">
        <v>2.5097757035E-5</v>
      </c>
      <c r="E5" s="16">
        <v>0.0</v>
      </c>
      <c r="F5" s="16">
        <v>0.0171555499004</v>
      </c>
      <c r="G5" s="16">
        <v>0.0</v>
      </c>
      <c r="H5" s="16">
        <v>0.024797286815</v>
      </c>
      <c r="I5" s="16">
        <v>0.0</v>
      </c>
      <c r="J5" s="16">
        <v>0.0</v>
      </c>
      <c r="K5" s="16">
        <v>0.01196834167</v>
      </c>
      <c r="L5" s="16">
        <v>0.0</v>
      </c>
      <c r="M5" s="16">
        <v>0.009484240689170143</v>
      </c>
      <c r="N5" s="16">
        <v>1.09398586625102E-4</v>
      </c>
      <c r="O5" s="16">
        <v>0.0</v>
      </c>
      <c r="P5" s="16">
        <v>0.01321822201994648</v>
      </c>
      <c r="Q5" s="15">
        <v>7.847456079999998E-4</v>
      </c>
      <c r="R5" s="15">
        <v>0.0182605895095</v>
      </c>
      <c r="S5" s="15">
        <v>8.180516648499997E-4</v>
      </c>
      <c r="T5" s="15">
        <v>7.847456079999998E-4</v>
      </c>
      <c r="U5" s="15">
        <v>0.0329697406275</v>
      </c>
      <c r="V5" s="15">
        <v>7.84745608E-4</v>
      </c>
      <c r="W5" s="15">
        <v>0.01860888463</v>
      </c>
      <c r="X5" s="15">
        <v>7.84745608E-4</v>
      </c>
      <c r="Y5" s="15">
        <v>7.84745608E-4</v>
      </c>
      <c r="Z5" s="15">
        <v>0.030809649215</v>
      </c>
      <c r="AA5" s="15">
        <v>1.084202172485504E-19</v>
      </c>
      <c r="AB5" s="16">
        <v>0.007144847685647601</v>
      </c>
      <c r="AC5" s="16">
        <v>1.451777360169706E-4</v>
      </c>
      <c r="AD5" s="16">
        <v>1.084202172485504E-19</v>
      </c>
      <c r="AE5" s="16">
        <v>0.009539319207997526</v>
      </c>
      <c r="AG5" s="16">
        <v>0.6316577907</v>
      </c>
      <c r="AH5" s="16">
        <v>0.607208469</v>
      </c>
      <c r="AI5" s="16">
        <v>0.1192285947</v>
      </c>
      <c r="AJ5" s="16">
        <v>0.5750009931</v>
      </c>
      <c r="AK5" s="16">
        <v>0.5517194845</v>
      </c>
      <c r="AL5" s="16">
        <v>0.1233320547</v>
      </c>
    </row>
    <row r="6">
      <c r="A6" s="14" t="s">
        <v>18</v>
      </c>
      <c r="B6" s="15">
        <v>0.0025119731219</v>
      </c>
      <c r="C6" s="16">
        <v>0.02829539243085</v>
      </c>
      <c r="D6" s="16">
        <v>0.003654236953</v>
      </c>
      <c r="E6" s="16">
        <v>0.00149684458</v>
      </c>
      <c r="F6" s="16">
        <v>0.006735343208999998</v>
      </c>
      <c r="G6" s="16">
        <v>0.003342532838</v>
      </c>
      <c r="H6" s="16">
        <v>0.031231599685</v>
      </c>
      <c r="I6" s="16">
        <v>0.003342532838</v>
      </c>
      <c r="J6" s="16">
        <v>0.00149684458</v>
      </c>
      <c r="K6" s="16">
        <v>0.00149684458</v>
      </c>
      <c r="L6" s="16">
        <v>9.18218314762601E-4</v>
      </c>
      <c r="M6" s="16">
        <v>0.01117609553941066</v>
      </c>
      <c r="N6" s="16">
        <v>0.001214467462765214</v>
      </c>
      <c r="O6" s="16">
        <v>0.0</v>
      </c>
      <c r="P6" s="16">
        <v>0.01196748378009434</v>
      </c>
      <c r="Q6" s="15">
        <v>0.006581977222</v>
      </c>
      <c r="R6" s="15">
        <v>0.01774617500109999</v>
      </c>
      <c r="S6" s="15">
        <v>0.006906276345399999</v>
      </c>
      <c r="T6" s="15">
        <v>0.006581977222</v>
      </c>
      <c r="U6" s="15">
        <v>0.0294236523165</v>
      </c>
      <c r="V6" s="15">
        <v>0.006581977222</v>
      </c>
      <c r="W6" s="15">
        <v>0.018015456655</v>
      </c>
      <c r="X6" s="15">
        <v>0.006581977222</v>
      </c>
      <c r="Y6" s="15">
        <v>0.006581977222</v>
      </c>
      <c r="Z6" s="15">
        <v>0.02717019519</v>
      </c>
      <c r="AA6" s="15">
        <v>0.0</v>
      </c>
      <c r="AB6" s="16">
        <v>0.005498967972966423</v>
      </c>
      <c r="AC6" s="16">
        <v>0.001413587106379427</v>
      </c>
      <c r="AD6" s="16">
        <v>0.0</v>
      </c>
      <c r="AE6" s="16">
        <v>0.005369442865723389</v>
      </c>
      <c r="AG6" s="16">
        <v>0.6740611058</v>
      </c>
      <c r="AH6" s="16">
        <v>0.6836052808</v>
      </c>
      <c r="AI6" s="16">
        <v>0.03617657767</v>
      </c>
      <c r="AJ6" s="16">
        <v>0.6529846369</v>
      </c>
      <c r="AK6" s="16">
        <v>0.6753673558</v>
      </c>
      <c r="AL6" s="16">
        <v>0.05531840918</v>
      </c>
    </row>
    <row r="7">
      <c r="A7" s="14" t="s">
        <v>19</v>
      </c>
      <c r="B7" s="15">
        <v>0.0</v>
      </c>
      <c r="C7" s="16">
        <v>0.015616467463</v>
      </c>
      <c r="D7" s="16">
        <v>1.283805422276E-4</v>
      </c>
      <c r="E7" s="16">
        <v>0.0</v>
      </c>
      <c r="F7" s="16">
        <v>0.012774375601325</v>
      </c>
      <c r="G7" s="16">
        <v>0.0</v>
      </c>
      <c r="H7" s="16">
        <v>0.015395579585</v>
      </c>
      <c r="I7" s="16">
        <v>1.5899438155E-4</v>
      </c>
      <c r="J7" s="16">
        <v>0.0</v>
      </c>
      <c r="K7" s="16">
        <v>0.011712726535</v>
      </c>
      <c r="L7" s="16">
        <v>0.0</v>
      </c>
      <c r="M7" s="16">
        <v>0.006872259106686571</v>
      </c>
      <c r="N7" s="16">
        <v>6.277542222549997E-5</v>
      </c>
      <c r="O7" s="16">
        <v>0.0</v>
      </c>
      <c r="P7" s="16">
        <v>0.007379482297331504</v>
      </c>
      <c r="Q7" s="15">
        <v>0.0</v>
      </c>
      <c r="R7" s="15">
        <v>0.0145150754524</v>
      </c>
      <c r="S7" s="15">
        <v>6.163980794999999E-4</v>
      </c>
      <c r="T7" s="15">
        <v>0.0</v>
      </c>
      <c r="U7" s="15">
        <v>0.0239826336405</v>
      </c>
      <c r="V7" s="15">
        <v>0.0</v>
      </c>
      <c r="W7" s="15">
        <v>0.013297493265</v>
      </c>
      <c r="X7" s="15">
        <v>0.0</v>
      </c>
      <c r="Y7" s="15">
        <v>0.0</v>
      </c>
      <c r="Z7" s="15">
        <v>0.02413847594</v>
      </c>
      <c r="AA7" s="15">
        <v>0.0</v>
      </c>
      <c r="AB7" s="16">
        <v>0.006575128061330538</v>
      </c>
      <c r="AC7" s="16">
        <v>0.00106763279138188</v>
      </c>
      <c r="AD7" s="16">
        <v>0.0</v>
      </c>
      <c r="AE7" s="16">
        <v>0.001963898450729448</v>
      </c>
      <c r="AG7" s="16">
        <v>0.6182504145</v>
      </c>
      <c r="AH7" s="16">
        <v>0.6182504145</v>
      </c>
      <c r="AI7" s="16">
        <v>0.008560076987</v>
      </c>
      <c r="AJ7" s="16">
        <v>0.634024857</v>
      </c>
      <c r="AK7" s="16">
        <v>0.6241093608</v>
      </c>
      <c r="AL7" s="16">
        <v>0.1353452051</v>
      </c>
    </row>
    <row r="8">
      <c r="A8" s="14" t="s">
        <v>20</v>
      </c>
      <c r="B8" s="15">
        <v>0.001053252523</v>
      </c>
      <c r="C8" s="16">
        <v>0.037760563612</v>
      </c>
      <c r="D8" s="16">
        <v>0.001053252523</v>
      </c>
      <c r="E8" s="16">
        <v>0.001053252523</v>
      </c>
      <c r="F8" s="16">
        <v>0.01131750239465</v>
      </c>
      <c r="G8" s="16">
        <v>0.001053252523</v>
      </c>
      <c r="H8" s="16">
        <v>0.04547363146</v>
      </c>
      <c r="I8" s="16">
        <v>0.001053252523</v>
      </c>
      <c r="J8" s="16">
        <v>0.001053252523</v>
      </c>
      <c r="K8" s="16">
        <v>0.0068852293235</v>
      </c>
      <c r="L8" s="16">
        <v>2.168404344971009E-19</v>
      </c>
      <c r="M8" s="16">
        <v>0.01271815862482469</v>
      </c>
      <c r="N8" s="16">
        <v>2.168404344971009E-19</v>
      </c>
      <c r="O8" s="16">
        <v>2.168404344971009E-19</v>
      </c>
      <c r="P8" s="16">
        <v>0.01062134698436147</v>
      </c>
      <c r="Q8" s="15">
        <v>0.0</v>
      </c>
      <c r="R8" s="15">
        <v>0.0226854991235</v>
      </c>
      <c r="S8" s="15">
        <v>0.0</v>
      </c>
      <c r="T8" s="15">
        <v>0.0</v>
      </c>
      <c r="U8" s="15">
        <v>0.039584619502</v>
      </c>
      <c r="V8" s="15">
        <v>0.0</v>
      </c>
      <c r="W8" s="15">
        <v>0.020346596675</v>
      </c>
      <c r="X8" s="15">
        <v>0.0</v>
      </c>
      <c r="Y8" s="15">
        <v>0.0</v>
      </c>
      <c r="Z8" s="15">
        <v>0.03764448274</v>
      </c>
      <c r="AA8" s="15">
        <v>0.0</v>
      </c>
      <c r="AB8" s="16">
        <v>0.007388020114843874</v>
      </c>
      <c r="AC8" s="16">
        <v>0.0</v>
      </c>
      <c r="AD8" s="16">
        <v>0.0</v>
      </c>
      <c r="AE8" s="16">
        <v>0.006945250406746805</v>
      </c>
      <c r="AG8" s="16">
        <v>0.6086875669</v>
      </c>
      <c r="AH8" s="16">
        <v>0.5561503533</v>
      </c>
      <c r="AI8" s="16">
        <v>0.04319393234</v>
      </c>
      <c r="AJ8" s="16">
        <v>0.5901422432</v>
      </c>
      <c r="AK8" s="16">
        <v>0.5232427621</v>
      </c>
      <c r="AL8" s="16">
        <v>0.1319092766</v>
      </c>
    </row>
    <row r="9">
      <c r="A9" s="14" t="s">
        <v>21</v>
      </c>
      <c r="B9" s="15">
        <v>0.004579579550999999</v>
      </c>
      <c r="C9" s="16">
        <v>0.0276641001205</v>
      </c>
      <c r="D9" s="16">
        <v>0.0048575314279</v>
      </c>
      <c r="E9" s="16">
        <v>0.004579579550999999</v>
      </c>
      <c r="F9" s="16">
        <v>0.0108074370668</v>
      </c>
      <c r="G9" s="16">
        <v>0.004579579551</v>
      </c>
      <c r="H9" s="16">
        <v>0.028936456325</v>
      </c>
      <c r="I9" s="16">
        <v>0.004840639305</v>
      </c>
      <c r="J9" s="16">
        <v>0.004579579551</v>
      </c>
      <c r="K9" s="16">
        <v>0.0084392414015</v>
      </c>
      <c r="L9" s="16">
        <v>8.673617379884035E-19</v>
      </c>
      <c r="M9" s="16">
        <v>0.01073023510277619</v>
      </c>
      <c r="N9" s="16">
        <v>1.880560242559827E-4</v>
      </c>
      <c r="O9" s="16">
        <v>8.673617379884035E-19</v>
      </c>
      <c r="P9" s="16">
        <v>0.006470134415987274</v>
      </c>
      <c r="Q9" s="15">
        <v>0.007320362860349999</v>
      </c>
      <c r="R9" s="15">
        <v>0.02475401140614999</v>
      </c>
      <c r="S9" s="15">
        <v>0.0072575819246</v>
      </c>
      <c r="T9" s="15">
        <v>0.007207357175999999</v>
      </c>
      <c r="U9" s="15">
        <v>0.042996730204</v>
      </c>
      <c r="V9" s="15">
        <v>0.007207357176</v>
      </c>
      <c r="W9" s="15">
        <v>0.024211970145</v>
      </c>
      <c r="X9" s="15">
        <v>0.007207357176</v>
      </c>
      <c r="Y9" s="15">
        <v>0.007207357176</v>
      </c>
      <c r="Z9" s="15">
        <v>0.040530789145</v>
      </c>
      <c r="AA9" s="15">
        <v>1.249324847220957E-4</v>
      </c>
      <c r="AB9" s="16">
        <v>0.008744881293919812</v>
      </c>
      <c r="AC9" s="16">
        <v>1.004494971999999E-4</v>
      </c>
      <c r="AD9" s="16">
        <v>8.673617379884035E-19</v>
      </c>
      <c r="AE9" s="16">
        <v>0.006371191669326169</v>
      </c>
      <c r="AG9" s="16">
        <v>0.6203801428</v>
      </c>
      <c r="AH9" s="16">
        <v>0.6544860986</v>
      </c>
      <c r="AI9" s="16">
        <v>0.09455930315</v>
      </c>
      <c r="AJ9" s="16">
        <v>0.6754835498</v>
      </c>
      <c r="AK9" s="16">
        <v>0.6754835498</v>
      </c>
      <c r="AL9" s="16">
        <v>0.1218727576</v>
      </c>
    </row>
    <row r="10">
      <c r="A10" s="14" t="s">
        <v>22</v>
      </c>
      <c r="B10" s="15">
        <v>0.007599032324049999</v>
      </c>
      <c r="C10" s="16">
        <v>0.04986948898100001</v>
      </c>
      <c r="D10" s="16">
        <v>0.01450797180255</v>
      </c>
      <c r="E10" s="16">
        <v>0.019386552799</v>
      </c>
      <c r="F10" s="16">
        <v>0.100423300662</v>
      </c>
      <c r="G10" s="16">
        <v>0.007571605476</v>
      </c>
      <c r="H10" s="16">
        <v>0.0516867473</v>
      </c>
      <c r="I10" s="16">
        <v>0.012210588795</v>
      </c>
      <c r="J10" s="16">
        <v>0.01947600876</v>
      </c>
      <c r="K10" s="16">
        <v>0.100598250635</v>
      </c>
      <c r="L10" s="16">
        <v>9.82983966017868E-4</v>
      </c>
      <c r="M10" s="16">
        <v>0.004266439190115098</v>
      </c>
      <c r="N10" s="16">
        <v>0.006379098925855778</v>
      </c>
      <c r="O10" s="16">
        <v>0.002905340373298068</v>
      </c>
      <c r="P10" s="16">
        <v>0.03404961358877961</v>
      </c>
      <c r="Q10" s="15">
        <v>0.006540520701450001</v>
      </c>
      <c r="R10" s="15">
        <v>0.0348051452955</v>
      </c>
      <c r="S10" s="15">
        <v>0.0211985551347</v>
      </c>
      <c r="T10" s="15">
        <v>0.0171290694425</v>
      </c>
      <c r="U10" s="15">
        <v>0.108022775626</v>
      </c>
      <c r="V10" s="15">
        <v>0.006569419289</v>
      </c>
      <c r="W10" s="15">
        <v>0.034596050805</v>
      </c>
      <c r="X10" s="15">
        <v>0.023302600845</v>
      </c>
      <c r="Y10" s="15">
        <v>0.0162917597</v>
      </c>
      <c r="Z10" s="15">
        <v>0.1078189578</v>
      </c>
      <c r="AA10" s="15">
        <v>0.001451726345805765</v>
      </c>
      <c r="AB10" s="16">
        <v>0.003356449705378651</v>
      </c>
      <c r="AC10" s="16">
        <v>0.005964068135263976</v>
      </c>
      <c r="AD10" s="16">
        <v>0.002752687251894073</v>
      </c>
      <c r="AE10" s="16">
        <v>0.02059682192107545</v>
      </c>
      <c r="AG10" s="16">
        <v>0.6646638154</v>
      </c>
      <c r="AH10" s="16">
        <v>0.6269653526</v>
      </c>
      <c r="AI10" s="16">
        <v>0.09737222736</v>
      </c>
      <c r="AJ10" s="16">
        <v>0.6712896203</v>
      </c>
      <c r="AK10" s="16">
        <v>0.6287745904</v>
      </c>
      <c r="AL10" s="16">
        <v>0.109025533</v>
      </c>
    </row>
    <row r="11">
      <c r="A11" s="14" t="s">
        <v>23</v>
      </c>
      <c r="B11" s="15">
        <v>0.01069342661425</v>
      </c>
      <c r="C11" s="16">
        <v>0.058758364964</v>
      </c>
      <c r="D11" s="16">
        <v>0.025234856911</v>
      </c>
      <c r="E11" s="16">
        <v>0.02826239450050001</v>
      </c>
      <c r="F11" s="16">
        <v>0.1144289346775</v>
      </c>
      <c r="G11" s="16">
        <v>0.011005528815</v>
      </c>
      <c r="H11" s="16">
        <v>0.05950559515</v>
      </c>
      <c r="I11" s="16">
        <v>0.02406654677</v>
      </c>
      <c r="J11" s="16">
        <v>0.02872986012</v>
      </c>
      <c r="K11" s="16">
        <v>0.118779404</v>
      </c>
      <c r="L11" s="16">
        <v>0.004185346341546844</v>
      </c>
      <c r="M11" s="16">
        <v>0.005744969432051559</v>
      </c>
      <c r="N11" s="16">
        <v>0.007992437413992892</v>
      </c>
      <c r="O11" s="16">
        <v>0.004776946294528032</v>
      </c>
      <c r="P11" s="16">
        <v>0.02460522013394905</v>
      </c>
      <c r="Q11" s="15">
        <v>0.0641794465145</v>
      </c>
      <c r="R11" s="15">
        <v>0.0498524724485</v>
      </c>
      <c r="S11" s="15">
        <v>0.02288451247</v>
      </c>
      <c r="T11" s="15">
        <v>0.0217122679305</v>
      </c>
      <c r="U11" s="15">
        <v>0.13004257205</v>
      </c>
      <c r="V11" s="15">
        <v>0.06309572064499999</v>
      </c>
      <c r="W11" s="15">
        <v>0.048981787355</v>
      </c>
      <c r="X11" s="15">
        <v>0.018949302595</v>
      </c>
      <c r="Y11" s="15">
        <v>0.02136319673</v>
      </c>
      <c r="Z11" s="15">
        <v>0.12620388595</v>
      </c>
      <c r="AA11" s="15">
        <v>0.003589479109717571</v>
      </c>
      <c r="AB11" s="16">
        <v>0.005765910517761938</v>
      </c>
      <c r="AC11" s="16">
        <v>0.009941662600726047</v>
      </c>
      <c r="AD11" s="16">
        <v>0.002133452462948921</v>
      </c>
      <c r="AE11" s="16">
        <v>0.03301653724640537</v>
      </c>
      <c r="AG11" s="16">
        <v>0.7095351858</v>
      </c>
      <c r="AH11" s="16">
        <v>0.7040479259</v>
      </c>
      <c r="AI11" s="16">
        <v>0.1768897711</v>
      </c>
      <c r="AJ11" s="16">
        <v>0.7588882529</v>
      </c>
      <c r="AK11" s="16">
        <v>0.7588882529</v>
      </c>
      <c r="AL11" s="16">
        <v>0.09779195691</v>
      </c>
    </row>
    <row r="12">
      <c r="A12" s="14" t="s">
        <v>24</v>
      </c>
      <c r="B12" s="15">
        <v>0.0161651713235</v>
      </c>
      <c r="C12" s="16">
        <v>0.05658706185249999</v>
      </c>
      <c r="D12" s="16">
        <v>0.033845619598</v>
      </c>
      <c r="E12" s="16">
        <v>0.029104135669</v>
      </c>
      <c r="F12" s="16">
        <v>0.140809074043</v>
      </c>
      <c r="G12" s="16">
        <v>0.01559029715</v>
      </c>
      <c r="H12" s="16">
        <v>0.05679197993</v>
      </c>
      <c r="I12" s="16">
        <v>0.03443024159499999</v>
      </c>
      <c r="J12" s="16">
        <v>0.02924061072</v>
      </c>
      <c r="K12" s="16">
        <v>0.1375195548</v>
      </c>
      <c r="L12" s="16">
        <v>0.001950668644898424</v>
      </c>
      <c r="M12" s="16">
        <v>0.003306913347354432</v>
      </c>
      <c r="N12" s="16">
        <v>0.008002705427058032</v>
      </c>
      <c r="O12" s="16">
        <v>0.002782980717890507</v>
      </c>
      <c r="P12" s="16">
        <v>0.03787458360286839</v>
      </c>
      <c r="Q12" s="15">
        <v>0.05020547814899999</v>
      </c>
      <c r="R12" s="15">
        <v>0.06547574658</v>
      </c>
      <c r="S12" s="15">
        <v>0.0293109198245</v>
      </c>
      <c r="T12" s="15">
        <v>0.029715863563</v>
      </c>
      <c r="U12" s="15">
        <v>0.1302662702655</v>
      </c>
      <c r="V12" s="15">
        <v>0.04988404185</v>
      </c>
      <c r="W12" s="15">
        <v>0.064996014155</v>
      </c>
      <c r="X12" s="15">
        <v>0.02486473099</v>
      </c>
      <c r="Y12" s="15">
        <v>0.029600819665</v>
      </c>
      <c r="Z12" s="15">
        <v>0.1291818234</v>
      </c>
      <c r="AA12" s="15">
        <v>0.001740519418195092</v>
      </c>
      <c r="AB12" s="16">
        <v>0.003427996828299849</v>
      </c>
      <c r="AC12" s="16">
        <v>0.01206986238181332</v>
      </c>
      <c r="AD12" s="16">
        <v>0.003198145056946543</v>
      </c>
      <c r="AE12" s="16">
        <v>0.03020708516253505</v>
      </c>
      <c r="AG12" s="16">
        <v>0.6454826487</v>
      </c>
      <c r="AH12" s="16">
        <v>0.645248252</v>
      </c>
      <c r="AI12" s="16">
        <v>0.2184075343</v>
      </c>
      <c r="AJ12" s="16">
        <v>0.5857862933</v>
      </c>
      <c r="AK12" s="16">
        <v>0.5646761786</v>
      </c>
      <c r="AL12" s="16">
        <v>0.1845561006</v>
      </c>
    </row>
    <row r="13">
      <c r="A13" s="14" t="s">
        <v>25</v>
      </c>
      <c r="B13" s="15">
        <v>0.0170616537705</v>
      </c>
      <c r="C13" s="16">
        <v>0.064774085226</v>
      </c>
      <c r="D13" s="16">
        <v>0.02917332995</v>
      </c>
      <c r="E13" s="16">
        <v>0.0312495948875</v>
      </c>
      <c r="F13" s="16">
        <v>0.1026998357875</v>
      </c>
      <c r="G13" s="16">
        <v>0.015530895985</v>
      </c>
      <c r="H13" s="16">
        <v>0.06334456413</v>
      </c>
      <c r="I13" s="16">
        <v>0.027061697235</v>
      </c>
      <c r="J13" s="16">
        <v>0.03138388438</v>
      </c>
      <c r="K13" s="16">
        <v>0.096183477995</v>
      </c>
      <c r="L13" s="16">
        <v>0.004077733417189006</v>
      </c>
      <c r="M13" s="16">
        <v>0.005229743341985532</v>
      </c>
      <c r="N13" s="16">
        <v>0.01054130692678857</v>
      </c>
      <c r="O13" s="16">
        <v>0.004546741765604588</v>
      </c>
      <c r="P13" s="16">
        <v>0.03318299809973788</v>
      </c>
      <c r="Q13" s="15">
        <v>0.0946191885</v>
      </c>
      <c r="R13" s="15">
        <v>0.05430639071800001</v>
      </c>
      <c r="S13" s="15">
        <v>0.02995141378100001</v>
      </c>
      <c r="T13" s="15">
        <v>0.031289009722</v>
      </c>
      <c r="U13" s="15">
        <v>0.118151750349</v>
      </c>
      <c r="V13" s="15">
        <v>0.09448649854499999</v>
      </c>
      <c r="W13" s="15">
        <v>0.053338652195</v>
      </c>
      <c r="X13" s="15">
        <v>0.028436001785</v>
      </c>
      <c r="Y13" s="15">
        <v>0.030982802675</v>
      </c>
      <c r="Z13" s="15">
        <v>0.120952561</v>
      </c>
      <c r="AA13" s="15">
        <v>0.001441820639079695</v>
      </c>
      <c r="AB13" s="16">
        <v>0.004380517734004637</v>
      </c>
      <c r="AC13" s="16">
        <v>0.006303911157471869</v>
      </c>
      <c r="AD13" s="16">
        <v>0.003153842801498555</v>
      </c>
      <c r="AE13" s="16">
        <v>0.03744671644987232</v>
      </c>
      <c r="AG13" s="16">
        <v>0.7146356277</v>
      </c>
      <c r="AH13" s="16">
        <v>0.7148647106</v>
      </c>
      <c r="AI13" s="16">
        <v>0.1708540549</v>
      </c>
      <c r="AJ13" s="16">
        <v>0.5803076471</v>
      </c>
      <c r="AK13" s="16">
        <v>0.6323023505</v>
      </c>
      <c r="AL13" s="16">
        <v>0.1641668842</v>
      </c>
    </row>
    <row r="14">
      <c r="A14" s="14" t="s">
        <v>26</v>
      </c>
      <c r="B14" s="15">
        <v>0.06392766523549999</v>
      </c>
      <c r="C14" s="16">
        <v>0.05865064534649998</v>
      </c>
      <c r="D14" s="16">
        <v>0.01146028876755</v>
      </c>
      <c r="E14" s="16">
        <v>0.019992823438</v>
      </c>
      <c r="F14" s="16">
        <v>0.1163529707365</v>
      </c>
      <c r="G14" s="16">
        <v>0.06417610094500001</v>
      </c>
      <c r="H14" s="16">
        <v>0.05969253972</v>
      </c>
      <c r="I14" s="16">
        <v>0.0056235689725</v>
      </c>
      <c r="J14" s="16">
        <v>0.018598094435</v>
      </c>
      <c r="K14" s="16">
        <v>0.12327642855</v>
      </c>
      <c r="L14" s="16">
        <v>0.001650345867843907</v>
      </c>
      <c r="M14" s="16">
        <v>0.00697624410415129</v>
      </c>
      <c r="N14" s="16">
        <v>0.008882622118973496</v>
      </c>
      <c r="O14" s="16">
        <v>0.005342358000003791</v>
      </c>
      <c r="P14" s="16">
        <v>0.04047691662161616</v>
      </c>
      <c r="Q14" s="15">
        <v>0.0149820227285</v>
      </c>
      <c r="R14" s="15">
        <v>0.0640675429915</v>
      </c>
      <c r="S14" s="15">
        <v>0.0276139997285</v>
      </c>
      <c r="T14" s="15">
        <v>0.026841895321</v>
      </c>
      <c r="U14" s="15">
        <v>0.1069928374695</v>
      </c>
      <c r="V14" s="15">
        <v>0.01600107591</v>
      </c>
      <c r="W14" s="15">
        <v>0.06436448518999999</v>
      </c>
      <c r="X14" s="15">
        <v>0.0221327962</v>
      </c>
      <c r="Y14" s="15">
        <v>0.02636416658</v>
      </c>
      <c r="Z14" s="15">
        <v>0.10259050965</v>
      </c>
      <c r="AA14" s="15">
        <v>0.002693433151814491</v>
      </c>
      <c r="AB14" s="16">
        <v>0.003094693485492197</v>
      </c>
      <c r="AC14" s="16">
        <v>0.01313242552350343</v>
      </c>
      <c r="AD14" s="16">
        <v>0.003743280161306863</v>
      </c>
      <c r="AE14" s="16">
        <v>0.03461179716440001</v>
      </c>
      <c r="AG14" s="16">
        <v>0.5723798614</v>
      </c>
      <c r="AH14" s="16">
        <v>0.5591680691</v>
      </c>
      <c r="AI14" s="16">
        <v>0.1169321454</v>
      </c>
      <c r="AJ14" s="16">
        <v>0.7533497592</v>
      </c>
      <c r="AK14" s="16">
        <v>0.7371385977</v>
      </c>
      <c r="AL14" s="16">
        <v>0.2649811845</v>
      </c>
    </row>
    <row r="15">
      <c r="A15" s="14" t="s">
        <v>27</v>
      </c>
      <c r="B15" s="15">
        <v>0.0116018554322</v>
      </c>
      <c r="C15" s="16">
        <v>0.0749612857335</v>
      </c>
      <c r="D15" s="16">
        <v>0.0248994601449</v>
      </c>
      <c r="E15" s="16">
        <v>0.03114951678</v>
      </c>
      <c r="F15" s="16">
        <v>0.12870914691</v>
      </c>
      <c r="G15" s="16">
        <v>0.01174604518</v>
      </c>
      <c r="H15" s="16">
        <v>0.073966088445</v>
      </c>
      <c r="I15" s="16">
        <v>0.025424060115</v>
      </c>
      <c r="J15" s="16">
        <v>0.03171527407</v>
      </c>
      <c r="K15" s="16">
        <v>0.12031258495</v>
      </c>
      <c r="L15" s="16">
        <v>0.002637662166175886</v>
      </c>
      <c r="M15" s="16">
        <v>0.006047657543314165</v>
      </c>
      <c r="N15" s="16">
        <v>0.01019571530261525</v>
      </c>
      <c r="O15" s="16">
        <v>0.004408755862414179</v>
      </c>
      <c r="P15" s="16">
        <v>0.04339379894953566</v>
      </c>
      <c r="Q15" s="15">
        <v>0.07385251366550001</v>
      </c>
      <c r="R15" s="15">
        <v>0.04065971332299999</v>
      </c>
      <c r="S15" s="15">
        <v>0.01159005320685</v>
      </c>
      <c r="T15" s="15">
        <v>0.01495156338425</v>
      </c>
      <c r="U15" s="15">
        <v>0.1055612971525</v>
      </c>
      <c r="V15" s="15">
        <v>0.07354061661</v>
      </c>
      <c r="W15" s="15">
        <v>0.040502142595</v>
      </c>
      <c r="X15" s="15">
        <v>0.0090775526665</v>
      </c>
      <c r="Y15" s="15">
        <v>0.0144226978</v>
      </c>
      <c r="Z15" s="15">
        <v>0.0948221141</v>
      </c>
      <c r="AA15" s="15">
        <v>0.001363543043066682</v>
      </c>
      <c r="AB15" s="16">
        <v>0.003033308542918527</v>
      </c>
      <c r="AC15" s="16">
        <v>0.006684603102368102</v>
      </c>
      <c r="AD15" s="16">
        <v>0.00240098941238083</v>
      </c>
      <c r="AE15" s="16">
        <v>0.02954694924526678</v>
      </c>
      <c r="AG15" s="16">
        <v>0.6424339567</v>
      </c>
      <c r="AH15" s="16">
        <v>0.6441031151</v>
      </c>
      <c r="AI15" s="16">
        <v>0.2105682972</v>
      </c>
      <c r="AJ15" s="16">
        <v>0.5652362144</v>
      </c>
      <c r="AK15" s="16">
        <v>0.6435861982</v>
      </c>
      <c r="AL15" s="16">
        <v>0.05709065478</v>
      </c>
    </row>
    <row r="16">
      <c r="A16" s="14" t="s">
        <v>28</v>
      </c>
      <c r="B16" s="15">
        <v>0.06335416598899998</v>
      </c>
      <c r="C16" s="16">
        <v>0.100898129432</v>
      </c>
      <c r="D16" s="16">
        <v>0.05230146325649999</v>
      </c>
      <c r="E16" s="16">
        <v>0.05848708222950001</v>
      </c>
      <c r="F16" s="16">
        <v>0.171791293845</v>
      </c>
      <c r="G16" s="16">
        <v>0.061366497355</v>
      </c>
      <c r="H16" s="16">
        <v>0.10014736351</v>
      </c>
      <c r="I16" s="16">
        <v>0.05379170212999999</v>
      </c>
      <c r="J16" s="16">
        <v>0.058857178195</v>
      </c>
      <c r="K16" s="16">
        <v>0.16827244415</v>
      </c>
      <c r="L16" s="16">
        <v>0.007002773546786535</v>
      </c>
      <c r="M16" s="16">
        <v>0.006862651399231695</v>
      </c>
      <c r="N16" s="16">
        <v>0.01195481920171105</v>
      </c>
      <c r="O16" s="16">
        <v>0.0047550353131499</v>
      </c>
      <c r="P16" s="16">
        <v>0.02660763369509079</v>
      </c>
      <c r="Q16" s="15">
        <v>0.080274297996</v>
      </c>
      <c r="R16" s="15">
        <v>0.0807725664555</v>
      </c>
      <c r="S16" s="15">
        <v>0.04939381491999999</v>
      </c>
      <c r="T16" s="15">
        <v>0.04961728309549999</v>
      </c>
      <c r="U16" s="15">
        <v>0.15760156462</v>
      </c>
      <c r="V16" s="15">
        <v>0.07925469917</v>
      </c>
      <c r="W16" s="15">
        <v>0.08139529076</v>
      </c>
      <c r="X16" s="15">
        <v>0.047277679685</v>
      </c>
      <c r="Y16" s="15">
        <v>0.05136336671</v>
      </c>
      <c r="Z16" s="15">
        <v>0.1470566605</v>
      </c>
      <c r="AA16" s="15">
        <v>0.004246277317241424</v>
      </c>
      <c r="AB16" s="16">
        <v>0.003922163643489501</v>
      </c>
      <c r="AC16" s="16">
        <v>0.00850655322780227</v>
      </c>
      <c r="AD16" s="16">
        <v>0.004759178303075972</v>
      </c>
      <c r="AE16" s="16">
        <v>0.03619352631295937</v>
      </c>
      <c r="AG16" s="16">
        <v>0.6878575717</v>
      </c>
      <c r="AH16" s="16">
        <v>0.6787781524</v>
      </c>
      <c r="AI16" s="16">
        <v>0.161202036</v>
      </c>
      <c r="AJ16" s="16">
        <v>0.7123522377</v>
      </c>
      <c r="AK16" s="16">
        <v>0.6984035356</v>
      </c>
      <c r="AL16" s="16">
        <v>0.1598090454</v>
      </c>
    </row>
    <row r="17">
      <c r="A17" s="14" t="s">
        <v>29</v>
      </c>
      <c r="B17" s="15">
        <v>0.064629255925</v>
      </c>
      <c r="C17" s="16">
        <v>0.07811117549349998</v>
      </c>
      <c r="D17" s="16">
        <v>0.0352274299705</v>
      </c>
      <c r="E17" s="16">
        <v>0.0446124247365</v>
      </c>
      <c r="F17" s="16">
        <v>0.135012074043</v>
      </c>
      <c r="G17" s="16">
        <v>0.06007083866</v>
      </c>
      <c r="H17" s="16">
        <v>0.078812584495</v>
      </c>
      <c r="I17" s="16">
        <v>0.035606539715</v>
      </c>
      <c r="J17" s="16">
        <v>0.04533957294</v>
      </c>
      <c r="K17" s="16">
        <v>0.136266242</v>
      </c>
      <c r="L17" s="16">
        <v>0.01035456105017074</v>
      </c>
      <c r="M17" s="16">
        <v>0.004914564005786982</v>
      </c>
      <c r="N17" s="16">
        <v>0.006471321529299346</v>
      </c>
      <c r="O17" s="16">
        <v>0.004320948572733771</v>
      </c>
      <c r="P17" s="16">
        <v>0.04127468295597286</v>
      </c>
      <c r="Q17" s="15">
        <v>0.0234066136425</v>
      </c>
      <c r="R17" s="15">
        <v>0.0843784963335</v>
      </c>
      <c r="S17" s="15">
        <v>0.048444736387</v>
      </c>
      <c r="T17" s="15">
        <v>0.052680552512</v>
      </c>
      <c r="U17" s="15">
        <v>0.18129744977</v>
      </c>
      <c r="V17" s="15">
        <v>0.023291572725</v>
      </c>
      <c r="W17" s="15">
        <v>0.085163556965</v>
      </c>
      <c r="X17" s="15">
        <v>0.04787513912</v>
      </c>
      <c r="Y17" s="15">
        <v>0.053743508765</v>
      </c>
      <c r="Z17" s="15">
        <v>0.17135219875</v>
      </c>
      <c r="AA17" s="15">
        <v>0.002093978146760326</v>
      </c>
      <c r="AB17" s="16">
        <v>0.005607404851772808</v>
      </c>
      <c r="AC17" s="16">
        <v>0.008132770838810153</v>
      </c>
      <c r="AD17" s="16">
        <v>0.005327666152156793</v>
      </c>
      <c r="AE17" s="16">
        <v>0.03479262059120623</v>
      </c>
      <c r="AG17" s="16">
        <v>0.7234984145</v>
      </c>
      <c r="AH17" s="16">
        <v>0.7195562269</v>
      </c>
      <c r="AI17" s="16">
        <v>0.1325658665</v>
      </c>
      <c r="AJ17" s="16">
        <v>0.7034545335</v>
      </c>
      <c r="AK17" s="16">
        <v>0.6996322223</v>
      </c>
      <c r="AL17" s="16">
        <v>0.1248743776</v>
      </c>
    </row>
    <row r="18">
      <c r="A18" s="14" t="s">
        <v>30</v>
      </c>
      <c r="B18" s="15">
        <v>0.0636166991</v>
      </c>
      <c r="C18" s="16">
        <v>0.09474702632200001</v>
      </c>
      <c r="D18" s="16">
        <v>0.0469687216415</v>
      </c>
      <c r="E18" s="16">
        <v>0.0557632600275</v>
      </c>
      <c r="F18" s="16">
        <v>0.147330170045</v>
      </c>
      <c r="G18" s="16">
        <v>0.064016386545</v>
      </c>
      <c r="H18" s="16">
        <v>0.09725479348499999</v>
      </c>
      <c r="I18" s="16">
        <v>0.045992740325</v>
      </c>
      <c r="J18" s="16">
        <v>0.05554781671</v>
      </c>
      <c r="K18" s="16">
        <v>0.1401063464</v>
      </c>
      <c r="L18" s="16">
        <v>0.003156884456825581</v>
      </c>
      <c r="M18" s="16">
        <v>0.008075836500778179</v>
      </c>
      <c r="N18" s="16">
        <v>0.006416311303601827</v>
      </c>
      <c r="O18" s="16">
        <v>0.002969728137388716</v>
      </c>
      <c r="P18" s="16">
        <v>0.03404991106487641</v>
      </c>
      <c r="Q18" s="15">
        <v>0.105454864775</v>
      </c>
      <c r="R18" s="15">
        <v>0.09526390176050001</v>
      </c>
      <c r="S18" s="15">
        <v>0.045891571522</v>
      </c>
      <c r="T18" s="15">
        <v>0.056477203141</v>
      </c>
      <c r="U18" s="15">
        <v>0.178899431393</v>
      </c>
      <c r="V18" s="15">
        <v>0.1050677578</v>
      </c>
      <c r="W18" s="15">
        <v>0.09579298597</v>
      </c>
      <c r="X18" s="15">
        <v>0.041240976655</v>
      </c>
      <c r="Y18" s="15">
        <v>0.05634231705499999</v>
      </c>
      <c r="Z18" s="15">
        <v>0.1858573745</v>
      </c>
      <c r="AA18" s="15">
        <v>0.005654256316236872</v>
      </c>
      <c r="AB18" s="16">
        <v>0.005042464976406984</v>
      </c>
      <c r="AC18" s="16">
        <v>0.01455233367123816</v>
      </c>
      <c r="AD18" s="16">
        <v>0.006795210896769102</v>
      </c>
      <c r="AE18" s="16">
        <v>0.04170824438791071</v>
      </c>
      <c r="AG18" s="16">
        <v>0.7241607936</v>
      </c>
      <c r="AH18" s="16">
        <v>0.7148968667</v>
      </c>
      <c r="AI18" s="16">
        <v>0.1774071516</v>
      </c>
      <c r="AJ18" s="16">
        <v>0.7212679931</v>
      </c>
      <c r="AK18" s="16">
        <v>0.686343799</v>
      </c>
      <c r="AL18" s="16">
        <v>0.1411603713</v>
      </c>
    </row>
    <row r="19">
      <c r="A19" s="14" t="s">
        <v>31</v>
      </c>
      <c r="B19" s="15">
        <v>0.067557109782</v>
      </c>
      <c r="C19" s="16">
        <v>0.072399444817</v>
      </c>
      <c r="D19" s="16">
        <v>0.035115967319</v>
      </c>
      <c r="E19" s="16">
        <v>0.0412300257225</v>
      </c>
      <c r="F19" s="16">
        <v>0.1422039845845</v>
      </c>
      <c r="G19" s="16">
        <v>0.06666015078</v>
      </c>
      <c r="H19" s="16">
        <v>0.073621961535</v>
      </c>
      <c r="I19" s="16">
        <v>0.037595128175</v>
      </c>
      <c r="J19" s="16">
        <v>0.041299702735</v>
      </c>
      <c r="K19" s="16">
        <v>0.14822093795</v>
      </c>
      <c r="L19" s="16">
        <v>0.004183963140626128</v>
      </c>
      <c r="M19" s="16">
        <v>0.005574246409456786</v>
      </c>
      <c r="N19" s="16">
        <v>0.01049309778846382</v>
      </c>
      <c r="O19" s="16">
        <v>0.004121300076033144</v>
      </c>
      <c r="P19" s="16">
        <v>0.04079439176950002</v>
      </c>
      <c r="Q19" s="15">
        <v>0.03967394130499999</v>
      </c>
      <c r="R19" s="15">
        <v>0.08623769865599999</v>
      </c>
      <c r="S19" s="15">
        <v>0.049619536316</v>
      </c>
      <c r="T19" s="15">
        <v>0.05495625847150001</v>
      </c>
      <c r="U19" s="15">
        <v>0.1632477020505</v>
      </c>
      <c r="V19" s="15">
        <v>0.03830336418</v>
      </c>
      <c r="W19" s="15">
        <v>0.08635203901499999</v>
      </c>
      <c r="X19" s="15">
        <v>0.049735395735</v>
      </c>
      <c r="Y19" s="15">
        <v>0.05496878761</v>
      </c>
      <c r="Z19" s="15">
        <v>0.15940890725</v>
      </c>
      <c r="AA19" s="15">
        <v>0.006580474696746686</v>
      </c>
      <c r="AB19" s="16">
        <v>0.005318736177933396</v>
      </c>
      <c r="AC19" s="16">
        <v>0.009514521187103823</v>
      </c>
      <c r="AD19" s="16">
        <v>0.005400202989770733</v>
      </c>
      <c r="AE19" s="16">
        <v>0.03236024410813383</v>
      </c>
      <c r="AG19" s="16">
        <v>0.7015456473</v>
      </c>
      <c r="AH19" s="16">
        <v>0.6365893866</v>
      </c>
      <c r="AI19" s="16">
        <v>0.1369020069</v>
      </c>
      <c r="AJ19" s="16">
        <v>0.6944303528</v>
      </c>
      <c r="AK19" s="16">
        <v>0.6854455762</v>
      </c>
      <c r="AL19" s="16">
        <v>0.161312402</v>
      </c>
    </row>
    <row r="20">
      <c r="A20" s="14" t="s">
        <v>32</v>
      </c>
      <c r="B20" s="15">
        <v>0.05196580903450001</v>
      </c>
      <c r="C20" s="16">
        <v>0.1233250819</v>
      </c>
      <c r="D20" s="16">
        <v>0.04938928912399999</v>
      </c>
      <c r="E20" s="16">
        <v>0.071331723177</v>
      </c>
      <c r="F20" s="16">
        <v>0.1678074018625</v>
      </c>
      <c r="G20" s="16">
        <v>0.053534064275</v>
      </c>
      <c r="H20" s="16">
        <v>0.12465127625</v>
      </c>
      <c r="I20" s="16">
        <v>0.04675815236</v>
      </c>
      <c r="J20" s="16">
        <v>0.07047876324499999</v>
      </c>
      <c r="K20" s="16">
        <v>0.1744051101</v>
      </c>
      <c r="L20" s="16">
        <v>0.01013185282378259</v>
      </c>
      <c r="M20" s="16">
        <v>0.00592399242937459</v>
      </c>
      <c r="N20" s="16">
        <v>0.01458836420628132</v>
      </c>
      <c r="O20" s="16">
        <v>0.005483595247056214</v>
      </c>
      <c r="P20" s="16">
        <v>0.05406018231525423</v>
      </c>
      <c r="Q20" s="15">
        <v>0.07591370055999999</v>
      </c>
      <c r="R20" s="15">
        <v>0.085156273235</v>
      </c>
      <c r="S20" s="15">
        <v>0.040419371139</v>
      </c>
      <c r="T20" s="15">
        <v>0.0482553547135</v>
      </c>
      <c r="U20" s="15">
        <v>0.175035184055</v>
      </c>
      <c r="V20" s="15">
        <v>0.07388039561500001</v>
      </c>
      <c r="W20" s="15">
        <v>0.08522093429</v>
      </c>
      <c r="X20" s="15">
        <v>0.042678010145</v>
      </c>
      <c r="Y20" s="15">
        <v>0.047884228025</v>
      </c>
      <c r="Z20" s="15">
        <v>0.17198522145</v>
      </c>
      <c r="AA20" s="15">
        <v>0.006452215321077509</v>
      </c>
      <c r="AB20" s="16">
        <v>0.006635045561915033</v>
      </c>
      <c r="AC20" s="16">
        <v>0.008503767722481239</v>
      </c>
      <c r="AD20" s="16">
        <v>0.005482715165563166</v>
      </c>
      <c r="AE20" s="16">
        <v>0.02349131003316854</v>
      </c>
      <c r="AG20" s="16">
        <v>0.7182630843</v>
      </c>
      <c r="AH20" s="16">
        <v>0.6869630446</v>
      </c>
      <c r="AI20" s="16">
        <v>0.1646931948</v>
      </c>
      <c r="AJ20" s="16">
        <v>0.6886916701</v>
      </c>
      <c r="AK20" s="16">
        <v>0.6538206942</v>
      </c>
      <c r="AL20" s="16">
        <v>0.235179908</v>
      </c>
    </row>
    <row r="21">
      <c r="A21" s="14" t="s">
        <v>33</v>
      </c>
      <c r="B21" s="15">
        <v>0.055496428197</v>
      </c>
      <c r="C21" s="16">
        <v>0.0958765601935</v>
      </c>
      <c r="D21" s="16">
        <v>0.0481810552225</v>
      </c>
      <c r="E21" s="16">
        <v>0.056071259911</v>
      </c>
      <c r="F21" s="16">
        <v>0.121325155068</v>
      </c>
      <c r="G21" s="16">
        <v>0.05458677302</v>
      </c>
      <c r="H21" s="16">
        <v>0.09356009212</v>
      </c>
      <c r="I21" s="16">
        <v>0.047010357465</v>
      </c>
      <c r="J21" s="16">
        <v>0.05612732191</v>
      </c>
      <c r="K21" s="16">
        <v>0.11516637615</v>
      </c>
      <c r="L21" s="16">
        <v>0.005182297860132246</v>
      </c>
      <c r="M21" s="16">
        <v>0.006706119314408841</v>
      </c>
      <c r="N21" s="16">
        <v>0.01056885857862066</v>
      </c>
      <c r="O21" s="16">
        <v>0.005729718206696031</v>
      </c>
      <c r="P21" s="16">
        <v>0.03534761806708884</v>
      </c>
      <c r="Q21" s="15">
        <v>0.0467122007015</v>
      </c>
      <c r="R21" s="15">
        <v>0.09587317457750001</v>
      </c>
      <c r="S21" s="15">
        <v>0.049091503562</v>
      </c>
      <c r="T21" s="15">
        <v>0.05317942249299999</v>
      </c>
      <c r="U21" s="15">
        <v>0.1665568449755</v>
      </c>
      <c r="V21" s="15">
        <v>0.04425634628</v>
      </c>
      <c r="W21" s="15">
        <v>0.09668198991999999</v>
      </c>
      <c r="X21" s="15">
        <v>0.04855060709</v>
      </c>
      <c r="Y21" s="15">
        <v>0.052797103305</v>
      </c>
      <c r="Z21" s="15">
        <v>0.15859418055</v>
      </c>
      <c r="AA21" s="15">
        <v>0.006831513557377337</v>
      </c>
      <c r="AB21" s="16">
        <v>0.006621715555362941</v>
      </c>
      <c r="AC21" s="16">
        <v>0.01003182008967423</v>
      </c>
      <c r="AD21" s="16">
        <v>0.00504963942155041</v>
      </c>
      <c r="AE21" s="16">
        <v>0.0407165728447509</v>
      </c>
      <c r="AG21" s="16">
        <v>0.7268604242</v>
      </c>
      <c r="AH21" s="16">
        <v>0.6990325316</v>
      </c>
      <c r="AI21" s="16">
        <v>0.2008817586</v>
      </c>
      <c r="AJ21" s="16">
        <v>0.6990051205</v>
      </c>
      <c r="AK21" s="16">
        <v>0.6976006171</v>
      </c>
      <c r="AL21" s="16">
        <v>0.2108659233</v>
      </c>
    </row>
    <row r="22">
      <c r="A22" s="14" t="s">
        <v>34</v>
      </c>
      <c r="B22" s="15">
        <v>0.125353846942</v>
      </c>
      <c r="C22" s="16">
        <v>0.19257035218</v>
      </c>
      <c r="D22" s="16">
        <v>0.110134493064</v>
      </c>
      <c r="E22" s="16">
        <v>0.137745932135</v>
      </c>
      <c r="F22" s="16">
        <v>0.224502933945</v>
      </c>
      <c r="G22" s="16">
        <v>0.1282297526</v>
      </c>
      <c r="H22" s="16">
        <v>0.1943855181</v>
      </c>
      <c r="I22" s="16">
        <v>0.11036994205</v>
      </c>
      <c r="J22" s="16">
        <v>0.13666001555</v>
      </c>
      <c r="K22" s="16">
        <v>0.22462329725</v>
      </c>
      <c r="L22" s="16">
        <v>0.01872820770036251</v>
      </c>
      <c r="M22" s="16">
        <v>0.006525617712049589</v>
      </c>
      <c r="N22" s="16">
        <v>0.01164460266194352</v>
      </c>
      <c r="O22" s="16">
        <v>0.006531375871569961</v>
      </c>
      <c r="P22" s="16">
        <v>0.02672752626889726</v>
      </c>
      <c r="Q22" s="15">
        <v>0.14133674</v>
      </c>
      <c r="R22" s="15">
        <v>0.179542164825</v>
      </c>
      <c r="S22" s="15">
        <v>0.1037782950425</v>
      </c>
      <c r="T22" s="15">
        <v>0.133208939325</v>
      </c>
      <c r="U22" s="15">
        <v>0.230811078205</v>
      </c>
      <c r="V22" s="15">
        <v>0.142205401</v>
      </c>
      <c r="W22" s="15">
        <v>0.17957858035</v>
      </c>
      <c r="X22" s="15">
        <v>0.10563814855</v>
      </c>
      <c r="Y22" s="15">
        <v>0.13540168005</v>
      </c>
      <c r="Z22" s="15">
        <v>0.23783418335</v>
      </c>
      <c r="AA22" s="15">
        <v>0.007704126583707601</v>
      </c>
      <c r="AB22" s="16">
        <v>0.006067862357572527</v>
      </c>
      <c r="AC22" s="16">
        <v>0.01328269961278414</v>
      </c>
      <c r="AD22" s="16">
        <v>0.007894065030483411</v>
      </c>
      <c r="AE22" s="16">
        <v>0.02489160456776757</v>
      </c>
      <c r="AG22" s="16">
        <v>0.5362943316</v>
      </c>
      <c r="AH22" s="16">
        <v>0.4755614358</v>
      </c>
      <c r="AI22" s="16">
        <v>0.1010138578</v>
      </c>
      <c r="AJ22" s="16">
        <v>0.5830557658</v>
      </c>
      <c r="AK22" s="16">
        <v>0.5388138698</v>
      </c>
      <c r="AL22" s="16">
        <v>0.1126753441</v>
      </c>
    </row>
    <row r="23">
      <c r="A23" s="14" t="s">
        <v>35</v>
      </c>
      <c r="B23" s="15">
        <v>0.138101778165</v>
      </c>
      <c r="C23" s="16">
        <v>0.1862827635</v>
      </c>
      <c r="D23" s="16">
        <v>0.1007687277665</v>
      </c>
      <c r="E23" s="16">
        <v>0.1297984356</v>
      </c>
      <c r="F23" s="16">
        <v>0.224679061755</v>
      </c>
      <c r="G23" s="16">
        <v>0.13933785555</v>
      </c>
      <c r="H23" s="16">
        <v>0.1883405163</v>
      </c>
      <c r="I23" s="16">
        <v>0.10241169167</v>
      </c>
      <c r="J23" s="16">
        <v>0.1292262767</v>
      </c>
      <c r="K23" s="16">
        <v>0.21590295015</v>
      </c>
      <c r="L23" s="16">
        <v>0.01229542996341871</v>
      </c>
      <c r="M23" s="16">
        <v>0.008146196676718115</v>
      </c>
      <c r="N23" s="16">
        <v>0.01642004982776139</v>
      </c>
      <c r="O23" s="16">
        <v>0.00604926159630711</v>
      </c>
      <c r="P23" s="16">
        <v>0.03956692327933885</v>
      </c>
      <c r="Q23" s="15">
        <v>0.136512766553</v>
      </c>
      <c r="R23" s="15">
        <v>0.172862092995</v>
      </c>
      <c r="S23" s="15">
        <v>0.09092103571150001</v>
      </c>
      <c r="T23" s="15">
        <v>0.12205478435</v>
      </c>
      <c r="U23" s="15">
        <v>0.21814292944</v>
      </c>
      <c r="V23" s="15">
        <v>0.1404154993</v>
      </c>
      <c r="W23" s="15">
        <v>0.1722625921</v>
      </c>
      <c r="X23" s="15">
        <v>0.088444229345</v>
      </c>
      <c r="Y23" s="15">
        <v>0.12230731835</v>
      </c>
      <c r="Z23" s="15">
        <v>0.20827797155</v>
      </c>
      <c r="AA23" s="15">
        <v>0.01887890949900495</v>
      </c>
      <c r="AB23" s="16">
        <v>0.004476996516487665</v>
      </c>
      <c r="AC23" s="16">
        <v>0.01536784109431748</v>
      </c>
      <c r="AD23" s="16">
        <v>0.005504433341195304</v>
      </c>
      <c r="AE23" s="16">
        <v>0.03117805039278324</v>
      </c>
      <c r="AG23" s="16">
        <v>0.6068523029</v>
      </c>
      <c r="AH23" s="16">
        <v>0.5709594557</v>
      </c>
      <c r="AI23" s="16">
        <v>0.09700129794</v>
      </c>
      <c r="AJ23" s="16">
        <v>0.6278279311</v>
      </c>
      <c r="AK23" s="16">
        <v>0.5896132496</v>
      </c>
      <c r="AL23" s="16">
        <v>0.1129271106</v>
      </c>
    </row>
    <row r="24">
      <c r="A24" s="14" t="s">
        <v>36</v>
      </c>
      <c r="B24" s="15">
        <v>0.16119253234</v>
      </c>
      <c r="C24" s="16">
        <v>0.203377866875</v>
      </c>
      <c r="D24" s="16">
        <v>0.110149334411</v>
      </c>
      <c r="E24" s="16">
        <v>0.14113841361</v>
      </c>
      <c r="F24" s="16">
        <v>0.226094496065</v>
      </c>
      <c r="G24" s="16">
        <v>0.1616355333</v>
      </c>
      <c r="H24" s="16">
        <v>0.2045612295</v>
      </c>
      <c r="I24" s="16">
        <v>0.1110207213</v>
      </c>
      <c r="J24" s="16">
        <v>0.14154925045</v>
      </c>
      <c r="K24" s="16">
        <v>0.2309466728</v>
      </c>
      <c r="L24" s="16">
        <v>0.01328898940772463</v>
      </c>
      <c r="M24" s="16">
        <v>0.005783357795630065</v>
      </c>
      <c r="N24" s="16">
        <v>0.01219394768247644</v>
      </c>
      <c r="O24" s="16">
        <v>0.006842232662485377</v>
      </c>
      <c r="P24" s="16">
        <v>0.03015288030870834</v>
      </c>
      <c r="Q24" s="15">
        <v>0.1378322862</v>
      </c>
      <c r="R24" s="15">
        <v>0.1730891843</v>
      </c>
      <c r="S24" s="15">
        <v>0.09270639761</v>
      </c>
      <c r="T24" s="15">
        <v>0.124751052695</v>
      </c>
      <c r="U24" s="15">
        <v>0.19666075875</v>
      </c>
      <c r="V24" s="15">
        <v>0.1400846269</v>
      </c>
      <c r="W24" s="15">
        <v>0.1730634436</v>
      </c>
      <c r="X24" s="15">
        <v>0.09194872076499999</v>
      </c>
      <c r="Y24" s="15">
        <v>0.1259544483</v>
      </c>
      <c r="Z24" s="15">
        <v>0.20243410905</v>
      </c>
      <c r="AA24" s="15">
        <v>0.00866354158843608</v>
      </c>
      <c r="AB24" s="16">
        <v>0.004368619871187777</v>
      </c>
      <c r="AC24" s="16">
        <v>0.009311975287519553</v>
      </c>
      <c r="AD24" s="16">
        <v>0.003813537610453647</v>
      </c>
      <c r="AE24" s="16">
        <v>0.0356684236054698</v>
      </c>
      <c r="AG24" s="16">
        <v>0.5990806439</v>
      </c>
      <c r="AH24" s="16">
        <v>0.5500191952</v>
      </c>
      <c r="AI24" s="16">
        <v>0.09047310037</v>
      </c>
      <c r="AJ24" s="16">
        <v>0.6007183081</v>
      </c>
      <c r="AK24" s="16">
        <v>0.5531607534</v>
      </c>
      <c r="AL24" s="16">
        <v>0.104185225</v>
      </c>
    </row>
    <row r="25">
      <c r="A25" s="14" t="s">
        <v>37</v>
      </c>
      <c r="B25" s="15">
        <v>0.1408258776455</v>
      </c>
      <c r="C25" s="16">
        <v>0.210337877985</v>
      </c>
      <c r="D25" s="16">
        <v>0.120938191879</v>
      </c>
      <c r="E25" s="16">
        <v>0.15553099941</v>
      </c>
      <c r="F25" s="16">
        <v>0.2461233679550001</v>
      </c>
      <c r="G25" s="16">
        <v>0.14233197915</v>
      </c>
      <c r="H25" s="16">
        <v>0.21121340255</v>
      </c>
      <c r="I25" s="16">
        <v>0.1194135669</v>
      </c>
      <c r="J25" s="16">
        <v>0.15513344655</v>
      </c>
      <c r="K25" s="16">
        <v>0.2513851466</v>
      </c>
      <c r="L25" s="16">
        <v>0.01778706147991409</v>
      </c>
      <c r="M25" s="16">
        <v>0.006195644745807199</v>
      </c>
      <c r="N25" s="16">
        <v>0.01346867713519486</v>
      </c>
      <c r="O25" s="16">
        <v>0.005951363394534556</v>
      </c>
      <c r="P25" s="16">
        <v>0.0418020653568247</v>
      </c>
      <c r="Q25" s="15">
        <v>0.1513316394</v>
      </c>
      <c r="R25" s="15">
        <v>0.176629525535</v>
      </c>
      <c r="S25" s="15">
        <v>0.102635373951</v>
      </c>
      <c r="T25" s="15">
        <v>0.126318723365</v>
      </c>
      <c r="U25" s="15">
        <v>0.21431399423</v>
      </c>
      <c r="V25" s="15">
        <v>0.1527748128</v>
      </c>
      <c r="W25" s="15">
        <v>0.17603475755</v>
      </c>
      <c r="X25" s="15">
        <v>0.10248866945</v>
      </c>
      <c r="Y25" s="15">
        <v>0.1267268986</v>
      </c>
      <c r="Z25" s="15">
        <v>0.2059156694</v>
      </c>
      <c r="AA25" s="15">
        <v>0.01111016426239214</v>
      </c>
      <c r="AB25" s="16">
        <v>0.006186448142167105</v>
      </c>
      <c r="AC25" s="16">
        <v>0.01355382387017321</v>
      </c>
      <c r="AD25" s="16">
        <v>0.005883921736674419</v>
      </c>
      <c r="AE25" s="16">
        <v>0.03713552463959111</v>
      </c>
      <c r="AG25" s="16">
        <v>0.6025012133</v>
      </c>
      <c r="AH25" s="16">
        <v>0.5375614017</v>
      </c>
      <c r="AI25" s="16">
        <v>0.1528829469</v>
      </c>
      <c r="AJ25" s="16">
        <v>0.5869645573</v>
      </c>
      <c r="AK25" s="16">
        <v>0.5197713767</v>
      </c>
      <c r="AL25" s="16">
        <v>0.1365005006</v>
      </c>
    </row>
    <row r="26">
      <c r="A26" s="14" t="s">
        <v>38</v>
      </c>
      <c r="B26" s="15">
        <v>0.15146611448</v>
      </c>
      <c r="C26" s="16">
        <v>0.19750016386</v>
      </c>
      <c r="D26" s="16">
        <v>0.1132273422225</v>
      </c>
      <c r="E26" s="16">
        <v>0.14681104064</v>
      </c>
      <c r="F26" s="16">
        <v>0.214991337995</v>
      </c>
      <c r="G26" s="16">
        <v>0.15255796995</v>
      </c>
      <c r="H26" s="16">
        <v>0.19674778</v>
      </c>
      <c r="I26" s="16">
        <v>0.11587447335</v>
      </c>
      <c r="J26" s="16">
        <v>0.1456720328</v>
      </c>
      <c r="K26" s="16">
        <v>0.20745541575</v>
      </c>
      <c r="L26" s="16">
        <v>0.01366294468948757</v>
      </c>
      <c r="M26" s="16">
        <v>0.007648871622672998</v>
      </c>
      <c r="N26" s="16">
        <v>0.01242086840310794</v>
      </c>
      <c r="O26" s="16">
        <v>0.006964392546443327</v>
      </c>
      <c r="P26" s="16">
        <v>0.03794845783371702</v>
      </c>
      <c r="Q26" s="15">
        <v>0.155791435585</v>
      </c>
      <c r="R26" s="15">
        <v>0.197874934885</v>
      </c>
      <c r="S26" s="15">
        <v>0.103849404826</v>
      </c>
      <c r="T26" s="15">
        <v>0.141335816045</v>
      </c>
      <c r="U26" s="15">
        <v>0.22920628259</v>
      </c>
      <c r="V26" s="15">
        <v>0.15895648535</v>
      </c>
      <c r="W26" s="15">
        <v>0.19733969465</v>
      </c>
      <c r="X26" s="15">
        <v>0.1018530693</v>
      </c>
      <c r="Y26" s="15">
        <v>0.14179476765</v>
      </c>
      <c r="Z26" s="15">
        <v>0.21944539815</v>
      </c>
      <c r="AA26" s="15">
        <v>0.01510547484260728</v>
      </c>
      <c r="AB26" s="16">
        <v>0.005797425319545293</v>
      </c>
      <c r="AC26" s="16">
        <v>0.01392303384563146</v>
      </c>
      <c r="AD26" s="16">
        <v>0.006765139640463148</v>
      </c>
      <c r="AE26" s="16">
        <v>0.03472330219080432</v>
      </c>
      <c r="AG26" s="16">
        <v>0.6303932358</v>
      </c>
      <c r="AH26" s="16">
        <v>0.533453922</v>
      </c>
      <c r="AI26" s="16">
        <v>0.1233989109</v>
      </c>
      <c r="AJ26" s="16">
        <v>0.541748212</v>
      </c>
      <c r="AK26" s="16">
        <v>0.5031333447</v>
      </c>
      <c r="AL26" s="16">
        <v>0.1133911233</v>
      </c>
    </row>
    <row r="27">
      <c r="A27" s="14" t="s">
        <v>39</v>
      </c>
      <c r="B27" s="15">
        <v>0.1335581027635</v>
      </c>
      <c r="C27" s="16">
        <v>0.204681249515</v>
      </c>
      <c r="D27" s="16">
        <v>0.1155474470185</v>
      </c>
      <c r="E27" s="16">
        <v>0.14962736736</v>
      </c>
      <c r="F27" s="16">
        <v>0.23687762917</v>
      </c>
      <c r="G27" s="16">
        <v>0.13589462805</v>
      </c>
      <c r="H27" s="16">
        <v>0.20553247975</v>
      </c>
      <c r="I27" s="16">
        <v>0.11343152575</v>
      </c>
      <c r="J27" s="16">
        <v>0.14942339725</v>
      </c>
      <c r="K27" s="16">
        <v>0.23701173665</v>
      </c>
      <c r="L27" s="16">
        <v>0.01631378148933396</v>
      </c>
      <c r="M27" s="16">
        <v>0.006154674486909963</v>
      </c>
      <c r="N27" s="16">
        <v>0.01164967843288204</v>
      </c>
      <c r="O27" s="16">
        <v>0.006007797282043041</v>
      </c>
      <c r="P27" s="16">
        <v>0.02750899196572385</v>
      </c>
      <c r="Q27" s="15">
        <v>0.163199496465</v>
      </c>
      <c r="R27" s="15">
        <v>0.19073576904</v>
      </c>
      <c r="S27" s="15">
        <v>0.10076556109</v>
      </c>
      <c r="T27" s="15">
        <v>0.13580006286</v>
      </c>
      <c r="U27" s="15">
        <v>0.2259723671250001</v>
      </c>
      <c r="V27" s="15">
        <v>0.16694872885</v>
      </c>
      <c r="W27" s="15">
        <v>0.19063055</v>
      </c>
      <c r="X27" s="15">
        <v>0.09823909560499999</v>
      </c>
      <c r="Y27" s="15">
        <v>0.1361193649</v>
      </c>
      <c r="Z27" s="15">
        <v>0.225474407</v>
      </c>
      <c r="AA27" s="15">
        <v>0.01263520052042766</v>
      </c>
      <c r="AB27" s="16">
        <v>0.004414151926625756</v>
      </c>
      <c r="AC27" s="16">
        <v>0.01245250232007157</v>
      </c>
      <c r="AD27" s="16">
        <v>0.007092054889403546</v>
      </c>
      <c r="AE27" s="16">
        <v>0.03896628226975304</v>
      </c>
      <c r="AG27" s="16">
        <v>0.5897541527</v>
      </c>
      <c r="AH27" s="16">
        <v>0.5718180574</v>
      </c>
      <c r="AI27" s="16">
        <v>0.1656199547</v>
      </c>
      <c r="AJ27" s="16">
        <v>0.5552794973</v>
      </c>
      <c r="AK27" s="16">
        <v>0.5219306773</v>
      </c>
      <c r="AL27" s="16">
        <v>0.1123466524</v>
      </c>
    </row>
    <row r="28">
      <c r="A28" s="14" t="s">
        <v>40</v>
      </c>
      <c r="B28" s="15">
        <v>0.238010505485</v>
      </c>
      <c r="C28" s="16">
        <v>0.2652472118300001</v>
      </c>
      <c r="D28" s="16">
        <v>0.16781396086</v>
      </c>
      <c r="E28" s="16">
        <v>0.215891376455</v>
      </c>
      <c r="F28" s="16">
        <v>0.294717661475</v>
      </c>
      <c r="G28" s="16">
        <v>0.23827666375</v>
      </c>
      <c r="H28" s="16">
        <v>0.2653996279</v>
      </c>
      <c r="I28" s="16">
        <v>0.16834596735</v>
      </c>
      <c r="J28" s="16">
        <v>0.21643507115</v>
      </c>
      <c r="K28" s="16">
        <v>0.29214247695</v>
      </c>
      <c r="L28" s="16">
        <v>0.008738441546699494</v>
      </c>
      <c r="M28" s="16">
        <v>0.003504626058467841</v>
      </c>
      <c r="N28" s="16">
        <v>0.009693466597069635</v>
      </c>
      <c r="O28" s="16">
        <v>0.005150448994905097</v>
      </c>
      <c r="P28" s="16">
        <v>0.01972992591001787</v>
      </c>
      <c r="Q28" s="16">
        <v>0.230863553165</v>
      </c>
      <c r="R28" s="16">
        <v>0.266730773065</v>
      </c>
      <c r="S28" s="16">
        <v>0.174297051645</v>
      </c>
      <c r="T28" s="16">
        <v>0.21636414678</v>
      </c>
      <c r="U28" s="16">
        <v>0.29693902929</v>
      </c>
      <c r="V28" s="16">
        <v>0.23004050425</v>
      </c>
      <c r="W28" s="16">
        <v>0.26645825755</v>
      </c>
      <c r="X28" s="16">
        <v>0.1723828914</v>
      </c>
      <c r="Y28" s="16">
        <v>0.21809416385</v>
      </c>
      <c r="Z28" s="16">
        <v>0.3012408218</v>
      </c>
      <c r="AA28" s="15">
        <v>0.01191616019528141</v>
      </c>
      <c r="AB28" s="16">
        <v>0.003373152815166187</v>
      </c>
      <c r="AC28" s="16">
        <v>0.01134322703199611</v>
      </c>
      <c r="AD28" s="16">
        <v>0.005169629750975944</v>
      </c>
      <c r="AE28" s="16">
        <v>0.01480222448019676</v>
      </c>
      <c r="AG28" s="16">
        <v>0.4898969409</v>
      </c>
      <c r="AH28" s="16">
        <v>0.4218346839</v>
      </c>
      <c r="AI28" s="16">
        <v>0.04294537247</v>
      </c>
      <c r="AJ28" s="16">
        <v>0.5126045915</v>
      </c>
      <c r="AK28" s="16">
        <v>0.4533492154</v>
      </c>
      <c r="AL28" s="16">
        <v>0.03403279234</v>
      </c>
    </row>
    <row r="29">
      <c r="A29" s="14" t="s">
        <v>41</v>
      </c>
      <c r="B29" s="15">
        <v>0.24938469069</v>
      </c>
      <c r="C29" s="16">
        <v>0.2891597831949999</v>
      </c>
      <c r="D29" s="16">
        <v>0.191687720085</v>
      </c>
      <c r="E29" s="16">
        <v>0.23826229873</v>
      </c>
      <c r="F29" s="16">
        <v>0.31574705126</v>
      </c>
      <c r="G29" s="16">
        <v>0.25184364535</v>
      </c>
      <c r="H29" s="16">
        <v>0.2877268655</v>
      </c>
      <c r="I29" s="16">
        <v>0.1967878029</v>
      </c>
      <c r="J29" s="16">
        <v>0.24014108925</v>
      </c>
      <c r="K29" s="16">
        <v>0.31305430005</v>
      </c>
      <c r="L29" s="16">
        <v>0.01074565085905787</v>
      </c>
      <c r="M29" s="16">
        <v>0.003542455297111182</v>
      </c>
      <c r="N29" s="16">
        <v>0.01635932372394094</v>
      </c>
      <c r="O29" s="16">
        <v>0.007662990038045282</v>
      </c>
      <c r="P29" s="16">
        <v>0.02052319170111195</v>
      </c>
      <c r="Q29" s="16">
        <v>0.263268052735</v>
      </c>
      <c r="R29" s="16">
        <v>0.28695748381</v>
      </c>
      <c r="S29" s="16">
        <v>0.191604121665</v>
      </c>
      <c r="T29" s="16">
        <v>0.237205145445</v>
      </c>
      <c r="U29" s="16">
        <v>0.315835353215</v>
      </c>
      <c r="V29" s="16">
        <v>0.26380812875</v>
      </c>
      <c r="W29" s="16">
        <v>0.2864720710000001</v>
      </c>
      <c r="X29" s="16">
        <v>0.19159261765</v>
      </c>
      <c r="Y29" s="16">
        <v>0.238592696</v>
      </c>
      <c r="Z29" s="16">
        <v>0.3092151829</v>
      </c>
      <c r="AA29" s="15">
        <v>0.006607346418944248</v>
      </c>
      <c r="AB29" s="16">
        <v>0.003042276257791185</v>
      </c>
      <c r="AC29" s="16">
        <v>0.00869717356995508</v>
      </c>
      <c r="AD29" s="16">
        <v>0.006841176189401826</v>
      </c>
      <c r="AE29" s="16">
        <v>0.01957036019591527</v>
      </c>
      <c r="AG29" s="16">
        <v>0.4761977755</v>
      </c>
      <c r="AH29" s="16">
        <v>0.4072553976</v>
      </c>
      <c r="AI29" s="16">
        <v>0.03709306427</v>
      </c>
      <c r="AJ29" s="16">
        <v>0.5069882226</v>
      </c>
      <c r="AK29" s="16">
        <v>0.42256981</v>
      </c>
      <c r="AL29" s="16">
        <v>0.04227154601</v>
      </c>
    </row>
    <row r="30">
      <c r="A30" s="14" t="s">
        <v>42</v>
      </c>
      <c r="B30" s="15">
        <v>0.22744218441</v>
      </c>
      <c r="C30" s="16">
        <v>0.28308925988</v>
      </c>
      <c r="D30" s="16">
        <v>0.18977217935</v>
      </c>
      <c r="E30" s="16">
        <v>0.23104064294</v>
      </c>
      <c r="F30" s="16">
        <v>0.31016067808</v>
      </c>
      <c r="G30" s="16">
        <v>0.23175794835</v>
      </c>
      <c r="H30" s="16">
        <v>0.2832105609</v>
      </c>
      <c r="I30" s="16">
        <v>0.1917965007</v>
      </c>
      <c r="J30" s="16">
        <v>0.2313968093</v>
      </c>
      <c r="K30" s="16">
        <v>0.30967380045</v>
      </c>
      <c r="L30" s="16">
        <v>0.01565129467308603</v>
      </c>
      <c r="M30" s="16">
        <v>0.003816308418999462</v>
      </c>
      <c r="N30" s="16">
        <v>0.01144098275079127</v>
      </c>
      <c r="O30" s="16">
        <v>0.006012137483015793</v>
      </c>
      <c r="P30" s="16">
        <v>0.0186332691671397</v>
      </c>
      <c r="Q30" s="16">
        <v>0.25816678094</v>
      </c>
      <c r="R30" s="16">
        <v>0.30417094302</v>
      </c>
      <c r="S30" s="16">
        <v>0.200429000775</v>
      </c>
      <c r="T30" s="16">
        <v>0.252284735795</v>
      </c>
      <c r="U30" s="16">
        <v>0.330349785335</v>
      </c>
      <c r="V30" s="16">
        <v>0.261256366</v>
      </c>
      <c r="W30" s="16">
        <v>0.30441888735</v>
      </c>
      <c r="X30" s="16">
        <v>0.1982025825</v>
      </c>
      <c r="Y30" s="16">
        <v>0.25215605175</v>
      </c>
      <c r="Z30" s="16">
        <v>0.3310811157</v>
      </c>
      <c r="AA30" s="15">
        <v>0.00869440407234281</v>
      </c>
      <c r="AB30" s="16">
        <v>0.003226897862839154</v>
      </c>
      <c r="AC30" s="16">
        <v>0.01264510798972813</v>
      </c>
      <c r="AD30" s="16">
        <v>0.006408169969733288</v>
      </c>
      <c r="AE30" s="16">
        <v>0.01455986754478855</v>
      </c>
      <c r="AG30" s="16">
        <v>0.4729395851</v>
      </c>
      <c r="AH30" s="16">
        <v>0.3998787893</v>
      </c>
      <c r="AI30" s="16">
        <v>0.03878028374</v>
      </c>
      <c r="AJ30" s="16">
        <v>0.4687990066</v>
      </c>
      <c r="AK30" s="16">
        <v>0.3896813129</v>
      </c>
      <c r="AL30" s="16">
        <v>0.0390274267</v>
      </c>
    </row>
    <row r="31">
      <c r="A31" s="14" t="s">
        <v>43</v>
      </c>
      <c r="B31" s="15">
        <v>0.274186401705</v>
      </c>
      <c r="C31" s="16">
        <v>0.27031582008</v>
      </c>
      <c r="D31" s="16">
        <v>0.181647107195</v>
      </c>
      <c r="E31" s="16">
        <v>0.224988834305</v>
      </c>
      <c r="F31" s="16">
        <v>0.3001067093049999</v>
      </c>
      <c r="G31" s="16">
        <v>0.27486431425</v>
      </c>
      <c r="H31" s="16">
        <v>0.2694700125</v>
      </c>
      <c r="I31" s="16">
        <v>0.1813334404</v>
      </c>
      <c r="J31" s="16">
        <v>0.2230260897</v>
      </c>
      <c r="K31" s="16">
        <v>0.297636103</v>
      </c>
      <c r="L31" s="16">
        <v>0.005563126282776557</v>
      </c>
      <c r="M31" s="16">
        <v>0.004167849938596321</v>
      </c>
      <c r="N31" s="16">
        <v>0.01326659989665229</v>
      </c>
      <c r="O31" s="16">
        <v>0.005403249550731542</v>
      </c>
      <c r="P31" s="16">
        <v>0.02155181318897341</v>
      </c>
      <c r="Q31" s="16">
        <v>0.24914042749</v>
      </c>
      <c r="R31" s="16">
        <v>0.272039309605</v>
      </c>
      <c r="S31" s="16">
        <v>0.18279190941</v>
      </c>
      <c r="T31" s="16">
        <v>0.22488424553</v>
      </c>
      <c r="U31" s="16">
        <v>0.301882910145</v>
      </c>
      <c r="V31" s="16">
        <v>0.24768481595</v>
      </c>
      <c r="W31" s="16">
        <v>0.27183296505</v>
      </c>
      <c r="X31" s="16">
        <v>0.1829844546</v>
      </c>
      <c r="Y31" s="16">
        <v>0.22683460625</v>
      </c>
      <c r="Z31" s="16">
        <v>0.3021862406</v>
      </c>
      <c r="AA31" s="15">
        <v>0.008444802199167692</v>
      </c>
      <c r="AB31" s="16">
        <v>0.004088294356294608</v>
      </c>
      <c r="AC31" s="16">
        <v>0.01697932702470701</v>
      </c>
      <c r="AD31" s="16">
        <v>0.006172225099665227</v>
      </c>
      <c r="AE31" s="16">
        <v>0.0184298316861993</v>
      </c>
      <c r="AG31" s="16">
        <v>0.4688899153</v>
      </c>
      <c r="AH31" s="16">
        <v>0.4051188945</v>
      </c>
      <c r="AI31" s="16">
        <v>0.0504479935</v>
      </c>
      <c r="AJ31" s="16">
        <v>0.4783521264</v>
      </c>
      <c r="AK31" s="16">
        <v>0.4099736509</v>
      </c>
      <c r="AL31" s="16">
        <v>0.06120194425</v>
      </c>
    </row>
    <row r="32">
      <c r="A32" s="14" t="s">
        <v>44</v>
      </c>
      <c r="B32" s="15">
        <v>0.246008164475</v>
      </c>
      <c r="C32" s="16">
        <v>0.2645251970199999</v>
      </c>
      <c r="D32" s="16">
        <v>0.173681527455</v>
      </c>
      <c r="E32" s="16">
        <v>0.213548213465</v>
      </c>
      <c r="F32" s="16">
        <v>0.299099852515</v>
      </c>
      <c r="G32" s="16">
        <v>0.2454665726</v>
      </c>
      <c r="H32" s="16">
        <v>0.265266961</v>
      </c>
      <c r="I32" s="16">
        <v>0.176393565</v>
      </c>
      <c r="J32" s="16">
        <v>0.2129587728</v>
      </c>
      <c r="K32" s="16">
        <v>0.301766339</v>
      </c>
      <c r="L32" s="16">
        <v>0.007858668966505318</v>
      </c>
      <c r="M32" s="16">
        <v>0.003896056828633733</v>
      </c>
      <c r="N32" s="16">
        <v>0.01250191185748074</v>
      </c>
      <c r="O32" s="16">
        <v>0.006410778321828002</v>
      </c>
      <c r="P32" s="16">
        <v>0.027664960187925</v>
      </c>
      <c r="Q32" s="16">
        <v>0.2274824449950001</v>
      </c>
      <c r="R32" s="16">
        <v>0.26937280713</v>
      </c>
      <c r="S32" s="16">
        <v>0.182048180405</v>
      </c>
      <c r="T32" s="16">
        <v>0.22215510208</v>
      </c>
      <c r="U32" s="16">
        <v>0.3017701659799999</v>
      </c>
      <c r="V32" s="16">
        <v>0.2287482435</v>
      </c>
      <c r="W32" s="16">
        <v>0.27068952855</v>
      </c>
      <c r="X32" s="16">
        <v>0.1834964149</v>
      </c>
      <c r="Y32" s="16">
        <v>0.2223880668</v>
      </c>
      <c r="Z32" s="16">
        <v>0.3020391168</v>
      </c>
      <c r="AA32" s="15">
        <v>0.01120468681482904</v>
      </c>
      <c r="AB32" s="16">
        <v>0.004193682580982349</v>
      </c>
      <c r="AC32" s="16">
        <v>0.01269887338829333</v>
      </c>
      <c r="AD32" s="16">
        <v>0.004736124615497959</v>
      </c>
      <c r="AE32" s="16">
        <v>0.01501351916360436</v>
      </c>
      <c r="AG32" s="16">
        <v>0.4650287699</v>
      </c>
      <c r="AH32" s="16">
        <v>0.3865512786</v>
      </c>
      <c r="AI32" s="16">
        <v>0.2117707651</v>
      </c>
      <c r="AJ32" s="16">
        <v>0.4755347718</v>
      </c>
      <c r="AK32" s="16">
        <v>0.3983343472</v>
      </c>
      <c r="AL32" s="16">
        <v>0.05861990826</v>
      </c>
    </row>
    <row r="33">
      <c r="A33" s="14" t="s">
        <v>45</v>
      </c>
      <c r="B33" s="15">
        <v>0.246383887485</v>
      </c>
      <c r="C33" s="16">
        <v>0.2860539404200001</v>
      </c>
      <c r="D33" s="16">
        <v>0.201415544255</v>
      </c>
      <c r="E33" s="16">
        <v>0.23528930213</v>
      </c>
      <c r="F33" s="16">
        <v>0.30526327096</v>
      </c>
      <c r="G33" s="16">
        <v>0.245869357</v>
      </c>
      <c r="H33" s="16">
        <v>0.28700574045</v>
      </c>
      <c r="I33" s="16">
        <v>0.20020555435</v>
      </c>
      <c r="J33" s="16">
        <v>0.23647813105</v>
      </c>
      <c r="K33" s="16">
        <v>0.30593748905</v>
      </c>
      <c r="L33" s="16">
        <v>0.009722879358616463</v>
      </c>
      <c r="M33" s="16">
        <v>0.003420129293954967</v>
      </c>
      <c r="N33" s="16">
        <v>0.009743599089562353</v>
      </c>
      <c r="O33" s="16">
        <v>0.005736029252464182</v>
      </c>
      <c r="P33" s="16">
        <v>0.01900515772259976</v>
      </c>
      <c r="Q33" s="16">
        <v>0.249491799955</v>
      </c>
      <c r="R33" s="16">
        <v>0.2772458696350001</v>
      </c>
      <c r="S33" s="16">
        <v>0.18772833035</v>
      </c>
      <c r="T33" s="16">
        <v>0.22868279149</v>
      </c>
      <c r="U33" s="16">
        <v>0.3018544775449999</v>
      </c>
      <c r="V33" s="16">
        <v>0.25158325845</v>
      </c>
      <c r="W33" s="16">
        <v>0.2768277239</v>
      </c>
      <c r="X33" s="16">
        <v>0.1885906315</v>
      </c>
      <c r="Y33" s="16">
        <v>0.22874120505</v>
      </c>
      <c r="Z33" s="16">
        <v>0.29977603435</v>
      </c>
      <c r="AA33" s="15">
        <v>0.01093821828847552</v>
      </c>
      <c r="AB33" s="16">
        <v>0.004110094568327264</v>
      </c>
      <c r="AC33" s="16">
        <v>0.009840051978115535</v>
      </c>
      <c r="AD33" s="16">
        <v>0.005107076395046518</v>
      </c>
      <c r="AE33" s="16">
        <v>0.0170188920814971</v>
      </c>
      <c r="AG33" s="16">
        <v>0.4787147832</v>
      </c>
      <c r="AH33" s="16">
        <v>0.4021998477</v>
      </c>
      <c r="AI33" s="16">
        <v>0.2526624228</v>
      </c>
      <c r="AJ33" s="16">
        <v>0.4456664206</v>
      </c>
      <c r="AK33" s="16">
        <v>0.3703396607</v>
      </c>
      <c r="AL33" s="16">
        <v>0.04804210105</v>
      </c>
    </row>
    <row r="34">
      <c r="A34" s="14" t="s">
        <v>46</v>
      </c>
      <c r="B34" s="15">
        <v>0.25678632671</v>
      </c>
      <c r="C34" s="16">
        <v>0.267660211055</v>
      </c>
      <c r="D34" s="16">
        <v>0.19450869124</v>
      </c>
      <c r="E34" s="16">
        <v>0.23049461927</v>
      </c>
      <c r="F34" s="16">
        <v>0.290273838965</v>
      </c>
      <c r="G34" s="16">
        <v>0.25725643915</v>
      </c>
      <c r="H34" s="16">
        <v>0.26788712825</v>
      </c>
      <c r="I34" s="16">
        <v>0.19665736325</v>
      </c>
      <c r="J34" s="16">
        <v>0.2311337361</v>
      </c>
      <c r="K34" s="16">
        <v>0.2903130751</v>
      </c>
      <c r="L34" s="16">
        <v>0.004509660670088384</v>
      </c>
      <c r="M34" s="16">
        <v>0.002177164247215788</v>
      </c>
      <c r="N34" s="16">
        <v>0.01266032270682342</v>
      </c>
      <c r="O34" s="16">
        <v>0.003704304356606345</v>
      </c>
      <c r="P34" s="16">
        <v>0.01740061517549345</v>
      </c>
      <c r="Q34" s="16">
        <v>0.236829892025</v>
      </c>
      <c r="R34" s="16">
        <v>0.2506703743549999</v>
      </c>
      <c r="S34" s="16">
        <v>0.182660881005</v>
      </c>
      <c r="T34" s="16">
        <v>0.21451897805</v>
      </c>
      <c r="U34" s="16">
        <v>0.274896454455</v>
      </c>
      <c r="V34" s="16">
        <v>0.23785416645</v>
      </c>
      <c r="W34" s="16">
        <v>0.2519836475</v>
      </c>
      <c r="X34" s="16">
        <v>0.18440919285</v>
      </c>
      <c r="Y34" s="16">
        <v>0.21488199345</v>
      </c>
      <c r="Z34" s="16">
        <v>0.27153254435</v>
      </c>
      <c r="AA34" s="15">
        <v>0.007661539291353523</v>
      </c>
      <c r="AB34" s="16">
        <v>0.003190326756318947</v>
      </c>
      <c r="AC34" s="16">
        <v>0.009754885089428563</v>
      </c>
      <c r="AD34" s="16">
        <v>0.004881531676149693</v>
      </c>
      <c r="AE34" s="16">
        <v>0.01247640892167718</v>
      </c>
      <c r="AG34" s="16">
        <v>0.3933452086</v>
      </c>
      <c r="AH34" s="16">
        <v>0.3394636617</v>
      </c>
      <c r="AI34" s="16">
        <v>0.6778553593</v>
      </c>
      <c r="AJ34" s="16">
        <v>0.3761605431</v>
      </c>
      <c r="AK34" s="16">
        <v>0.3157230192</v>
      </c>
      <c r="AL34" s="16">
        <v>0.5956859217</v>
      </c>
    </row>
    <row r="35">
      <c r="A35" s="14" t="s">
        <v>47</v>
      </c>
      <c r="B35" s="15">
        <v>0.2549607663200001</v>
      </c>
      <c r="C35" s="16">
        <v>0.28107581524</v>
      </c>
      <c r="D35" s="16">
        <v>0.20954694697</v>
      </c>
      <c r="E35" s="16">
        <v>0.24189492289</v>
      </c>
      <c r="F35" s="16">
        <v>0.299363593125</v>
      </c>
      <c r="G35" s="16">
        <v>0.25388930435</v>
      </c>
      <c r="H35" s="16">
        <v>0.281361529</v>
      </c>
      <c r="I35" s="16">
        <v>0.2098558317</v>
      </c>
      <c r="J35" s="16">
        <v>0.24152853215</v>
      </c>
      <c r="K35" s="16">
        <v>0.3028282791</v>
      </c>
      <c r="L35" s="16">
        <v>0.005578488909098005</v>
      </c>
      <c r="M35" s="16">
        <v>0.002237946095317239</v>
      </c>
      <c r="N35" s="16">
        <v>0.01149567206680971</v>
      </c>
      <c r="O35" s="16">
        <v>0.004635964608565704</v>
      </c>
      <c r="P35" s="16">
        <v>0.0118404576062029</v>
      </c>
      <c r="Q35" s="16">
        <v>0.24602393996</v>
      </c>
      <c r="R35" s="16">
        <v>0.262325924045</v>
      </c>
      <c r="S35" s="16">
        <v>0.188394632465</v>
      </c>
      <c r="T35" s="16">
        <v>0.22532748952</v>
      </c>
      <c r="U35" s="16">
        <v>0.2878721187150001</v>
      </c>
      <c r="V35" s="16">
        <v>0.24636524435</v>
      </c>
      <c r="W35" s="16">
        <v>0.2620031946</v>
      </c>
      <c r="X35" s="16">
        <v>0.1891304272</v>
      </c>
      <c r="Y35" s="16">
        <v>0.22506815705</v>
      </c>
      <c r="Z35" s="16">
        <v>0.2858277226</v>
      </c>
      <c r="AA35" s="15">
        <v>0.008408859404521534</v>
      </c>
      <c r="AB35" s="16">
        <v>0.002706043264103866</v>
      </c>
      <c r="AC35" s="16">
        <v>0.01014521137304041</v>
      </c>
      <c r="AD35" s="16">
        <v>0.005351866424230726</v>
      </c>
      <c r="AE35" s="16">
        <v>0.00836817434849129</v>
      </c>
      <c r="AG35" s="16">
        <v>0.3850254768</v>
      </c>
      <c r="AH35" s="16">
        <v>0.3305304685</v>
      </c>
      <c r="AI35" s="16">
        <v>0.6610581565</v>
      </c>
      <c r="AJ35" s="16">
        <v>0.3721610907</v>
      </c>
      <c r="AK35" s="16">
        <v>0.2949701963</v>
      </c>
      <c r="AL35" s="16">
        <v>0.6207728389</v>
      </c>
    </row>
    <row r="36">
      <c r="A36" s="14" t="s">
        <v>48</v>
      </c>
      <c r="B36" s="15">
        <v>0.24843599562</v>
      </c>
      <c r="C36" s="16">
        <v>0.2762954707649999</v>
      </c>
      <c r="D36" s="16">
        <v>0.203705583105</v>
      </c>
      <c r="E36" s="16">
        <v>0.23789902183</v>
      </c>
      <c r="F36" s="16">
        <v>0.2952368609150001</v>
      </c>
      <c r="G36" s="16">
        <v>0.25025827455</v>
      </c>
      <c r="H36" s="16">
        <v>0.27590782065</v>
      </c>
      <c r="I36" s="16">
        <v>0.2069614134</v>
      </c>
      <c r="J36" s="16">
        <v>0.23851540215</v>
      </c>
      <c r="K36" s="16">
        <v>0.2950175095000001</v>
      </c>
      <c r="L36" s="16">
        <v>0.006264691630394109</v>
      </c>
      <c r="M36" s="16">
        <v>0.002600221391518533</v>
      </c>
      <c r="N36" s="16">
        <v>0.01066401275268428</v>
      </c>
      <c r="O36" s="16">
        <v>0.003870503396143907</v>
      </c>
      <c r="P36" s="16">
        <v>0.01110630598479022</v>
      </c>
      <c r="Q36" s="16">
        <v>0.227647259595</v>
      </c>
      <c r="R36" s="16">
        <v>0.24906305133</v>
      </c>
      <c r="S36" s="16">
        <v>0.17710717537</v>
      </c>
      <c r="T36" s="16">
        <v>0.210906912605</v>
      </c>
      <c r="U36" s="16">
        <v>0.268647095855</v>
      </c>
      <c r="V36" s="16">
        <v>0.22744141775</v>
      </c>
      <c r="W36" s="16">
        <v>0.24925253415</v>
      </c>
      <c r="X36" s="16">
        <v>0.1741128649</v>
      </c>
      <c r="Y36" s="16">
        <v>0.2095669474</v>
      </c>
      <c r="Z36" s="16">
        <v>0.26786719595</v>
      </c>
      <c r="AA36" s="15">
        <v>0.00560937892938605</v>
      </c>
      <c r="AB36" s="16">
        <v>0.001968295026919445</v>
      </c>
      <c r="AC36" s="16">
        <v>0.009309181053129157</v>
      </c>
      <c r="AD36" s="16">
        <v>0.004428447344815843</v>
      </c>
      <c r="AE36" s="16">
        <v>0.01294408894599497</v>
      </c>
      <c r="AG36" s="16">
        <v>0.4065052215</v>
      </c>
      <c r="AH36" s="16">
        <v>0.3546598504</v>
      </c>
      <c r="AI36" s="16">
        <v>0.6664995703</v>
      </c>
      <c r="AJ36" s="16">
        <v>0.3728231045</v>
      </c>
      <c r="AK36" s="16">
        <v>0.2963969843</v>
      </c>
      <c r="AL36" s="16">
        <v>0.6099026104</v>
      </c>
    </row>
    <row r="37">
      <c r="A37" s="14" t="s">
        <v>49</v>
      </c>
      <c r="B37" s="15">
        <v>0.24602267288</v>
      </c>
      <c r="C37" s="16">
        <v>0.272199811935</v>
      </c>
      <c r="D37" s="16">
        <v>0.20830927595</v>
      </c>
      <c r="E37" s="16">
        <v>0.23627741861</v>
      </c>
      <c r="F37" s="16">
        <v>0.2829612312549999</v>
      </c>
      <c r="G37" s="16">
        <v>0.2440828812</v>
      </c>
      <c r="H37" s="16">
        <v>0.2725855131</v>
      </c>
      <c r="I37" s="16">
        <v>0.20714396635</v>
      </c>
      <c r="J37" s="16">
        <v>0.2377531344</v>
      </c>
      <c r="K37" s="16">
        <v>0.2836109671</v>
      </c>
      <c r="L37" s="16">
        <v>0.00785461489498894</v>
      </c>
      <c r="M37" s="16">
        <v>0.003473063242617741</v>
      </c>
      <c r="N37" s="16">
        <v>0.01343618401898982</v>
      </c>
      <c r="O37" s="16">
        <v>0.004462603411161009</v>
      </c>
      <c r="P37" s="16">
        <v>0.01153202888027696</v>
      </c>
      <c r="Q37" s="16">
        <v>0.21516080937</v>
      </c>
      <c r="R37" s="16">
        <v>0.236193718715</v>
      </c>
      <c r="S37" s="16">
        <v>0.169051388235</v>
      </c>
      <c r="T37" s="16">
        <v>0.197045593115</v>
      </c>
      <c r="U37" s="16">
        <v>0.2516717946450001</v>
      </c>
      <c r="V37" s="16">
        <v>0.21643532735</v>
      </c>
      <c r="W37" s="16">
        <v>0.23579375005</v>
      </c>
      <c r="X37" s="16">
        <v>0.1700197932</v>
      </c>
      <c r="Y37" s="16">
        <v>0.19605430275</v>
      </c>
      <c r="Z37" s="16">
        <v>0.25100634205</v>
      </c>
      <c r="AA37" s="15">
        <v>0.006497524925042902</v>
      </c>
      <c r="AB37" s="16">
        <v>0.001997762478580804</v>
      </c>
      <c r="AC37" s="16">
        <v>0.00921061090369666</v>
      </c>
      <c r="AD37" s="16">
        <v>0.004869621810780047</v>
      </c>
      <c r="AE37" s="16">
        <v>0.01242754316585062</v>
      </c>
      <c r="AG37" s="16">
        <v>0.395897094</v>
      </c>
      <c r="AH37" s="16">
        <v>0.5179520864</v>
      </c>
      <c r="AI37" s="16">
        <v>0.6516233278</v>
      </c>
      <c r="AJ37" s="16">
        <v>0.3708537373</v>
      </c>
      <c r="AK37" s="16">
        <v>0.3029633362</v>
      </c>
      <c r="AL37" s="16">
        <v>0.6240177621</v>
      </c>
    </row>
    <row r="38">
      <c r="A38" s="14" t="s">
        <v>50</v>
      </c>
      <c r="B38" s="15">
        <v>0.248649414985</v>
      </c>
      <c r="C38" s="16">
        <v>0.27448522212</v>
      </c>
      <c r="D38" s="16">
        <v>0.21055656965</v>
      </c>
      <c r="E38" s="16">
        <v>0.23772658483</v>
      </c>
      <c r="F38" s="16">
        <v>0.293410607425</v>
      </c>
      <c r="G38" s="16">
        <v>0.24965488185</v>
      </c>
      <c r="H38" s="16">
        <v>0.27510718615</v>
      </c>
      <c r="I38" s="16">
        <v>0.20941000975</v>
      </c>
      <c r="J38" s="16">
        <v>0.23650595</v>
      </c>
      <c r="K38" s="16">
        <v>0.294718213</v>
      </c>
      <c r="L38" s="16">
        <v>0.006324006366155725</v>
      </c>
      <c r="M38" s="16">
        <v>0.002755268758030322</v>
      </c>
      <c r="N38" s="16">
        <v>0.006501541307862737</v>
      </c>
      <c r="O38" s="16">
        <v>0.006075571825896684</v>
      </c>
      <c r="P38" s="16">
        <v>0.01511369412076253</v>
      </c>
      <c r="Q38" s="16">
        <v>0.239807961295</v>
      </c>
      <c r="R38" s="16">
        <v>0.260316181465</v>
      </c>
      <c r="S38" s="16">
        <v>0.191153006185</v>
      </c>
      <c r="T38" s="16">
        <v>0.22420655756</v>
      </c>
      <c r="U38" s="16">
        <v>0.27792081097</v>
      </c>
      <c r="V38" s="16">
        <v>0.2396293981</v>
      </c>
      <c r="W38" s="16">
        <v>0.26033836295</v>
      </c>
      <c r="X38" s="16">
        <v>0.19055716735</v>
      </c>
      <c r="Y38" s="16">
        <v>0.22350432025</v>
      </c>
      <c r="Z38" s="16">
        <v>0.2770613707</v>
      </c>
      <c r="AA38" s="15">
        <v>0.006387079171950743</v>
      </c>
      <c r="AB38" s="16">
        <v>0.002161315906042547</v>
      </c>
      <c r="AC38" s="16">
        <v>0.006973284316409833</v>
      </c>
      <c r="AD38" s="16">
        <v>0.004409678007826134</v>
      </c>
      <c r="AE38" s="16">
        <v>0.009193009759418141</v>
      </c>
      <c r="AG38" s="16">
        <v>0.3645317033</v>
      </c>
      <c r="AH38" s="16">
        <v>0.37634154</v>
      </c>
      <c r="AI38" s="16">
        <v>0.6729449502</v>
      </c>
      <c r="AJ38" s="16">
        <v>0.3597403639</v>
      </c>
      <c r="AK38" s="16">
        <v>0.2937055467</v>
      </c>
      <c r="AL38" s="16">
        <v>0.6308317585</v>
      </c>
    </row>
    <row r="39">
      <c r="A39" s="14" t="s">
        <v>51</v>
      </c>
      <c r="B39" s="15">
        <v>0.239577755815</v>
      </c>
      <c r="C39" s="16">
        <v>0.268866068915</v>
      </c>
      <c r="D39" s="16">
        <v>0.197276869145</v>
      </c>
      <c r="E39" s="16">
        <v>0.23146655473</v>
      </c>
      <c r="F39" s="16">
        <v>0.285849370865</v>
      </c>
      <c r="G39" s="16">
        <v>0.23948206685</v>
      </c>
      <c r="H39" s="16">
        <v>0.26914777815</v>
      </c>
      <c r="I39" s="16">
        <v>0.1969767614</v>
      </c>
      <c r="J39" s="16">
        <v>0.23219429665</v>
      </c>
      <c r="K39" s="16">
        <v>0.2834427147</v>
      </c>
      <c r="L39" s="16">
        <v>0.009568185847022138</v>
      </c>
      <c r="M39" s="16">
        <v>0.002431607384537021</v>
      </c>
      <c r="N39" s="16">
        <v>0.01159495582419887</v>
      </c>
      <c r="O39" s="16">
        <v>0.004367167057961874</v>
      </c>
      <c r="P39" s="16">
        <v>0.01249619864539152</v>
      </c>
      <c r="Q39" s="16">
        <v>0.228070992925</v>
      </c>
      <c r="R39" s="16">
        <v>0.2552882043199999</v>
      </c>
      <c r="S39" s="16">
        <v>0.186514631555</v>
      </c>
      <c r="T39" s="16">
        <v>0.219063155845</v>
      </c>
      <c r="U39" s="16">
        <v>0.2776468499349999</v>
      </c>
      <c r="V39" s="16">
        <v>0.2295871471</v>
      </c>
      <c r="W39" s="16">
        <v>0.2548733607</v>
      </c>
      <c r="X39" s="16">
        <v>0.1910117842</v>
      </c>
      <c r="Y39" s="16">
        <v>0.21983489215</v>
      </c>
      <c r="Z39" s="16">
        <v>0.27464832225</v>
      </c>
      <c r="AA39" s="15">
        <v>0.005807663814237151</v>
      </c>
      <c r="AB39" s="16">
        <v>0.002489786566028463</v>
      </c>
      <c r="AC39" s="16">
        <v>0.01409817171889633</v>
      </c>
      <c r="AD39" s="16">
        <v>0.005645805878683218</v>
      </c>
      <c r="AE39" s="16">
        <v>0.014515345389335</v>
      </c>
      <c r="AG39" s="16">
        <v>0.389821549</v>
      </c>
      <c r="AH39" s="16">
        <v>0.3454360933</v>
      </c>
      <c r="AI39" s="16">
        <v>0.6881505364</v>
      </c>
      <c r="AJ39" s="16">
        <v>0.369381028</v>
      </c>
      <c r="AK39" s="16">
        <v>0.3128307573</v>
      </c>
      <c r="AL39" s="16">
        <v>0.6229624481</v>
      </c>
    </row>
    <row r="40">
      <c r="A40" s="14" t="s">
        <v>52</v>
      </c>
      <c r="B40" s="15">
        <v>0.23306384556</v>
      </c>
      <c r="C40" s="16">
        <v>0.25090741349</v>
      </c>
      <c r="D40" s="16">
        <v>0.213556318995</v>
      </c>
      <c r="E40" s="16">
        <v>0.2228883519099999</v>
      </c>
      <c r="F40" s="16">
        <v>0.256584602935</v>
      </c>
      <c r="G40" s="16">
        <v>0.23249588785</v>
      </c>
      <c r="H40" s="16">
        <v>0.25106847745</v>
      </c>
      <c r="I40" s="16">
        <v>0.2142422406</v>
      </c>
      <c r="J40" s="16">
        <v>0.22352736095</v>
      </c>
      <c r="K40" s="16">
        <v>0.25466141805</v>
      </c>
      <c r="L40" s="16">
        <v>0.005210790493410089</v>
      </c>
      <c r="M40" s="16">
        <v>0.001423152671271075</v>
      </c>
      <c r="N40" s="16">
        <v>0.006389051086134899</v>
      </c>
      <c r="O40" s="16">
        <v>0.004293449982706747</v>
      </c>
      <c r="P40" s="16">
        <v>0.006987292861710286</v>
      </c>
      <c r="Q40" s="16">
        <v>0.106909867473</v>
      </c>
      <c r="R40" s="16">
        <v>0.123538037635</v>
      </c>
      <c r="S40" s="16">
        <v>0.0846493617255</v>
      </c>
      <c r="T40" s="16">
        <v>0.0949626298015</v>
      </c>
      <c r="U40" s="16">
        <v>0.132378084805</v>
      </c>
      <c r="V40" s="16">
        <v>0.10494678195</v>
      </c>
      <c r="W40" s="16">
        <v>0.1230554063</v>
      </c>
      <c r="X40" s="16">
        <v>0.08572137930000001</v>
      </c>
      <c r="Y40" s="16">
        <v>0.09548537357</v>
      </c>
      <c r="Z40" s="16">
        <v>0.1327983563</v>
      </c>
      <c r="AA40" s="15">
        <v>0.004809647598154108</v>
      </c>
      <c r="AB40" s="16">
        <v>0.00178892161823671</v>
      </c>
      <c r="AC40" s="16">
        <v>0.007943227218586863</v>
      </c>
      <c r="AD40" s="16">
        <v>0.004634745922385542</v>
      </c>
      <c r="AE40" s="16">
        <v>0.006863344877820662</v>
      </c>
      <c r="AG40" s="17" t="s">
        <v>53</v>
      </c>
      <c r="AH40" s="17" t="s">
        <v>53</v>
      </c>
      <c r="AI40" s="16">
        <v>0.4964759673</v>
      </c>
      <c r="AJ40" s="16">
        <v>0.3298093693</v>
      </c>
      <c r="AK40" s="16">
        <v>0.2598757394</v>
      </c>
      <c r="AL40" s="16">
        <v>0.5955565999</v>
      </c>
    </row>
    <row r="41">
      <c r="A41" s="14" t="s">
        <v>54</v>
      </c>
      <c r="B41" s="15">
        <v>0.2422749287</v>
      </c>
      <c r="C41" s="16">
        <v>0.256860229925</v>
      </c>
      <c r="D41" s="16">
        <v>0.21519814631</v>
      </c>
      <c r="E41" s="16">
        <v>0.231088088065</v>
      </c>
      <c r="F41" s="16">
        <v>0.27145315589</v>
      </c>
      <c r="G41" s="16">
        <v>0.2428015383</v>
      </c>
      <c r="H41" s="16">
        <v>0.25686120115</v>
      </c>
      <c r="I41" s="16">
        <v>0.2158228781</v>
      </c>
      <c r="J41" s="16">
        <v>0.23185466515</v>
      </c>
      <c r="K41" s="16">
        <v>0.2702402665</v>
      </c>
      <c r="L41" s="16">
        <v>0.004979421613641961</v>
      </c>
      <c r="M41" s="16">
        <v>0.001714755316059956</v>
      </c>
      <c r="N41" s="16">
        <v>0.006349021285532786</v>
      </c>
      <c r="O41" s="16">
        <v>0.003009444409665996</v>
      </c>
      <c r="P41" s="16">
        <v>0.008750316957819948</v>
      </c>
      <c r="Q41" s="16">
        <v>0.221269080855</v>
      </c>
      <c r="R41" s="16">
        <v>0.24084975232</v>
      </c>
      <c r="S41" s="16">
        <v>0.19952668811</v>
      </c>
      <c r="T41" s="16">
        <v>0.21437778038</v>
      </c>
      <c r="U41" s="16">
        <v>0.2536565897799999</v>
      </c>
      <c r="V41" s="16">
        <v>0.22227665425</v>
      </c>
      <c r="W41" s="16">
        <v>0.24083209085</v>
      </c>
      <c r="X41" s="16">
        <v>0.20015094885</v>
      </c>
      <c r="Y41" s="16">
        <v>0.2160578545</v>
      </c>
      <c r="Z41" s="16">
        <v>0.25292090635</v>
      </c>
      <c r="AA41" s="15">
        <v>0.005806767231549487</v>
      </c>
      <c r="AB41" s="16">
        <v>0.001860203701775505</v>
      </c>
      <c r="AC41" s="16">
        <v>0.005822990337930331</v>
      </c>
      <c r="AD41" s="16">
        <v>0.003772515291110958</v>
      </c>
      <c r="AE41" s="16">
        <v>0.007111580391568563</v>
      </c>
      <c r="AG41" s="16">
        <v>0.3395574346</v>
      </c>
      <c r="AH41" s="16">
        <v>0.351881573</v>
      </c>
      <c r="AI41" s="16">
        <v>0.6179093971</v>
      </c>
      <c r="AJ41" s="16">
        <v>0.3372043717</v>
      </c>
      <c r="AK41" s="16">
        <v>0.2726543218</v>
      </c>
      <c r="AL41" s="16">
        <v>0.6329262284</v>
      </c>
    </row>
    <row r="42">
      <c r="A42" s="14" t="s">
        <v>55</v>
      </c>
      <c r="B42" s="15">
        <v>0.24436554436</v>
      </c>
      <c r="C42" s="16">
        <v>0.263457242765</v>
      </c>
      <c r="D42" s="16">
        <v>0.22168067539</v>
      </c>
      <c r="E42" s="16">
        <v>0.23635661249</v>
      </c>
      <c r="F42" s="16">
        <v>0.27438230959</v>
      </c>
      <c r="G42" s="16">
        <v>0.24468560015</v>
      </c>
      <c r="H42" s="16">
        <v>0.26352565325</v>
      </c>
      <c r="I42" s="16">
        <v>0.2220793514</v>
      </c>
      <c r="J42" s="16">
        <v>0.23630881425</v>
      </c>
      <c r="K42" s="16">
        <v>0.2733057918</v>
      </c>
      <c r="L42" s="16">
        <v>0.004832229339090785</v>
      </c>
      <c r="M42" s="16">
        <v>0.001910376685572695</v>
      </c>
      <c r="N42" s="16">
        <v>0.005551443030413958</v>
      </c>
      <c r="O42" s="16">
        <v>0.003609055595211581</v>
      </c>
      <c r="P42" s="16">
        <v>0.007409228617608447</v>
      </c>
      <c r="Q42" s="16">
        <v>0.221052361345</v>
      </c>
      <c r="R42" s="16">
        <v>0.241531079555</v>
      </c>
      <c r="S42" s="16">
        <v>0.198783496855</v>
      </c>
      <c r="T42" s="16">
        <v>0.21466392261</v>
      </c>
      <c r="U42" s="16">
        <v>0.25148064066</v>
      </c>
      <c r="V42" s="16">
        <v>0.2192535596</v>
      </c>
      <c r="W42" s="16">
        <v>0.2416919946</v>
      </c>
      <c r="X42" s="16">
        <v>0.2000082424</v>
      </c>
      <c r="Y42" s="16">
        <v>0.2140210978</v>
      </c>
      <c r="Z42" s="16">
        <v>0.2512620859</v>
      </c>
      <c r="AA42" s="15">
        <v>0.00600610847573753</v>
      </c>
      <c r="AB42" s="16">
        <v>0.001338201609460521</v>
      </c>
      <c r="AC42" s="16">
        <v>0.007475962888244127</v>
      </c>
      <c r="AD42" s="16">
        <v>0.004421524572984862</v>
      </c>
      <c r="AE42" s="16">
        <v>0.007745457064362405</v>
      </c>
      <c r="AG42" s="16">
        <v>0.3422535142</v>
      </c>
      <c r="AH42" s="16">
        <v>0.319028545</v>
      </c>
      <c r="AI42" s="16">
        <v>0.6177425848</v>
      </c>
      <c r="AJ42" s="16">
        <v>0.3285997661</v>
      </c>
      <c r="AK42" s="16">
        <v>0.2575983953</v>
      </c>
      <c r="AL42" s="16">
        <v>0.6148906671</v>
      </c>
    </row>
    <row r="43">
      <c r="A43" s="14" t="s">
        <v>56</v>
      </c>
      <c r="B43" s="15">
        <v>0.230028932615</v>
      </c>
      <c r="C43" s="16">
        <v>0.24915660368</v>
      </c>
      <c r="D43" s="16">
        <v>0.21157654077</v>
      </c>
      <c r="E43" s="16">
        <v>0.220086520855</v>
      </c>
      <c r="F43" s="16">
        <v>0.2609097827349999</v>
      </c>
      <c r="G43" s="16">
        <v>0.2308668827</v>
      </c>
      <c r="H43" s="16">
        <v>0.249330239</v>
      </c>
      <c r="I43" s="16">
        <v>0.21168311515</v>
      </c>
      <c r="J43" s="16">
        <v>0.2206270564</v>
      </c>
      <c r="K43" s="16">
        <v>0.2626611311</v>
      </c>
      <c r="L43" s="16">
        <v>0.004289054586895899</v>
      </c>
      <c r="M43" s="16">
        <v>0.001746249505808192</v>
      </c>
      <c r="N43" s="16">
        <v>0.01080748294853967</v>
      </c>
      <c r="O43" s="16">
        <v>0.003714981805940434</v>
      </c>
      <c r="P43" s="16">
        <v>0.007317461509012673</v>
      </c>
      <c r="Q43" s="16">
        <v>0.21880384408</v>
      </c>
      <c r="R43" s="16">
        <v>0.2364667630250001</v>
      </c>
      <c r="S43" s="16">
        <v>0.199070497355</v>
      </c>
      <c r="T43" s="16">
        <v>0.2100728256</v>
      </c>
      <c r="U43" s="16">
        <v>0.24764900818</v>
      </c>
      <c r="V43" s="16">
        <v>0.2181189755</v>
      </c>
      <c r="W43" s="16">
        <v>0.23626847195</v>
      </c>
      <c r="X43" s="16">
        <v>0.19996997205</v>
      </c>
      <c r="Y43" s="16">
        <v>0.2098348332</v>
      </c>
      <c r="Z43" s="16">
        <v>0.2466817174</v>
      </c>
      <c r="AA43" s="15">
        <v>0.003561737847106751</v>
      </c>
      <c r="AB43" s="16">
        <v>0.001644945780038955</v>
      </c>
      <c r="AC43" s="16">
        <v>0.009788968908456234</v>
      </c>
      <c r="AD43" s="16">
        <v>0.002933144565971167</v>
      </c>
      <c r="AE43" s="16">
        <v>0.005277407727937221</v>
      </c>
      <c r="AG43" s="16">
        <v>0.3387956706</v>
      </c>
      <c r="AH43" s="16">
        <v>0.3505807955</v>
      </c>
      <c r="AI43" s="16">
        <v>0.6109603203</v>
      </c>
      <c r="AJ43" s="16">
        <v>0.329681086</v>
      </c>
      <c r="AK43" s="16">
        <v>0.2884466324</v>
      </c>
      <c r="AL43" s="16">
        <v>0.6122319534</v>
      </c>
    </row>
    <row r="44">
      <c r="A44" s="14" t="s">
        <v>57</v>
      </c>
      <c r="B44" s="15">
        <v>0.22850359861</v>
      </c>
      <c r="C44" s="16">
        <v>0.246653960735</v>
      </c>
      <c r="D44" s="16">
        <v>0.208865226315</v>
      </c>
      <c r="E44" s="16">
        <v>0.220718928495</v>
      </c>
      <c r="F44" s="16">
        <v>0.25766716049</v>
      </c>
      <c r="G44" s="16">
        <v>0.22992942215</v>
      </c>
      <c r="H44" s="16">
        <v>0.24675057545</v>
      </c>
      <c r="I44" s="16">
        <v>0.2084528711</v>
      </c>
      <c r="J44" s="16">
        <v>0.220737549</v>
      </c>
      <c r="K44" s="16">
        <v>0.2569508963</v>
      </c>
      <c r="L44" s="16">
        <v>0.004954770455162827</v>
      </c>
      <c r="M44" s="16">
        <v>0.001857772105345761</v>
      </c>
      <c r="N44" s="16">
        <v>0.007521079618746744</v>
      </c>
      <c r="O44" s="16">
        <v>0.004319260939634658</v>
      </c>
      <c r="P44" s="16">
        <v>0.006361814690628531</v>
      </c>
      <c r="Q44" s="16">
        <v>0.21006444997</v>
      </c>
      <c r="R44" s="16">
        <v>0.22984108875</v>
      </c>
      <c r="S44" s="16">
        <v>0.189891993105</v>
      </c>
      <c r="T44" s="16">
        <v>0.20078042075</v>
      </c>
      <c r="U44" s="16">
        <v>0.24028011464</v>
      </c>
      <c r="V44" s="16">
        <v>0.21070423315</v>
      </c>
      <c r="W44" s="16">
        <v>0.2300613532</v>
      </c>
      <c r="X44" s="16">
        <v>0.1909538618</v>
      </c>
      <c r="Y44" s="16">
        <v>0.20092901555</v>
      </c>
      <c r="Z44" s="16">
        <v>0.24059407485</v>
      </c>
      <c r="AA44" s="15">
        <v>0.004807544431045181</v>
      </c>
      <c r="AB44" s="16">
        <v>0.002159140415002243</v>
      </c>
      <c r="AC44" s="16">
        <v>0.007377474177527807</v>
      </c>
      <c r="AD44" s="16">
        <v>0.003802054981965036</v>
      </c>
      <c r="AE44" s="16">
        <v>0.007009733304074533</v>
      </c>
      <c r="AG44" s="16">
        <v>0.3439179227</v>
      </c>
      <c r="AH44" s="16">
        <v>0.3012973703</v>
      </c>
      <c r="AI44" s="17" t="s">
        <v>53</v>
      </c>
      <c r="AJ44" s="16">
        <v>0.3415472339</v>
      </c>
      <c r="AK44" s="16">
        <v>0.3166861754</v>
      </c>
      <c r="AL44" s="16">
        <v>0.6014152625</v>
      </c>
    </row>
    <row r="45">
      <c r="A45" s="14" t="s">
        <v>58</v>
      </c>
      <c r="B45" s="15">
        <v>0.224672802125</v>
      </c>
      <c r="C45" s="16">
        <v>0.24281834535</v>
      </c>
      <c r="D45" s="16">
        <v>0.2052033411</v>
      </c>
      <c r="E45" s="16">
        <v>0.214937780245</v>
      </c>
      <c r="F45" s="16">
        <v>0.253773881655</v>
      </c>
      <c r="G45" s="16">
        <v>0.2249040014</v>
      </c>
      <c r="H45" s="16">
        <v>0.24267034835</v>
      </c>
      <c r="I45" s="16">
        <v>0.20627336335</v>
      </c>
      <c r="J45" s="16">
        <v>0.2149645184</v>
      </c>
      <c r="K45" s="16">
        <v>0.25090680315</v>
      </c>
      <c r="L45" s="16">
        <v>0.004154883306319495</v>
      </c>
      <c r="M45" s="16">
        <v>0.001347087519154326</v>
      </c>
      <c r="N45" s="16">
        <v>0.007316511537862455</v>
      </c>
      <c r="O45" s="16">
        <v>0.003314222204386489</v>
      </c>
      <c r="P45" s="16">
        <v>0.008600130585350804</v>
      </c>
      <c r="Q45" s="16">
        <v>0.20269940855</v>
      </c>
      <c r="R45" s="16">
        <v>0.220886222845</v>
      </c>
      <c r="S45" s="16">
        <v>0.18166509516</v>
      </c>
      <c r="T45" s="16">
        <v>0.193659860545</v>
      </c>
      <c r="U45" s="16">
        <v>0.234009053415</v>
      </c>
      <c r="V45" s="16">
        <v>0.2028297167</v>
      </c>
      <c r="W45" s="16">
        <v>0.2209211288</v>
      </c>
      <c r="X45" s="16">
        <v>0.1816185823</v>
      </c>
      <c r="Y45" s="16">
        <v>0.19475370895</v>
      </c>
      <c r="Z45" s="16">
        <v>0.23425591795</v>
      </c>
      <c r="AA45" s="15">
        <v>0.004073054454578358</v>
      </c>
      <c r="AB45" s="16">
        <v>0.00118626654880356</v>
      </c>
      <c r="AC45" s="16">
        <v>0.008456030539170429</v>
      </c>
      <c r="AD45" s="16">
        <v>0.004658721298631707</v>
      </c>
      <c r="AE45" s="16">
        <v>0.003462802803675761</v>
      </c>
      <c r="AG45" s="16">
        <v>0.3386457865</v>
      </c>
      <c r="AH45" s="16">
        <v>0.4072171904</v>
      </c>
      <c r="AI45" s="17" t="s">
        <v>53</v>
      </c>
      <c r="AJ45" s="16">
        <v>0.3342000447</v>
      </c>
      <c r="AK45" s="16">
        <v>0.3411641265</v>
      </c>
      <c r="AL45" s="16">
        <v>0.5879695771</v>
      </c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</sheetData>
  <mergeCells count="11">
    <mergeCell ref="L2:P2"/>
    <mergeCell ref="Q2:U2"/>
    <mergeCell ref="V2:Z2"/>
    <mergeCell ref="AA2:AE2"/>
    <mergeCell ref="A1:A3"/>
    <mergeCell ref="B1:P1"/>
    <mergeCell ref="Q1:AE1"/>
    <mergeCell ref="AG1:AI1"/>
    <mergeCell ref="AJ1:AL1"/>
    <mergeCell ref="B2:F2"/>
    <mergeCell ref="G2:K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Q1" s="3" t="s">
        <v>2</v>
      </c>
      <c r="AF1" s="4"/>
      <c r="AG1" s="5" t="s">
        <v>3</v>
      </c>
      <c r="AH1" s="6"/>
      <c r="AI1" s="7"/>
      <c r="AJ1" s="5" t="s">
        <v>4</v>
      </c>
      <c r="AK1" s="6"/>
      <c r="AL1" s="7"/>
    </row>
    <row r="2">
      <c r="B2" s="8" t="s">
        <v>5</v>
      </c>
      <c r="G2" s="8" t="s">
        <v>6</v>
      </c>
      <c r="L2" s="8" t="s">
        <v>7</v>
      </c>
      <c r="Q2" s="3" t="s">
        <v>5</v>
      </c>
      <c r="V2" s="3" t="s">
        <v>6</v>
      </c>
      <c r="AA2" s="3" t="s">
        <v>7</v>
      </c>
      <c r="AF2" s="4"/>
      <c r="AG2" s="9" t="s">
        <v>8</v>
      </c>
      <c r="AH2" s="9" t="s">
        <v>9</v>
      </c>
      <c r="AI2" s="9" t="s">
        <v>10</v>
      </c>
      <c r="AJ2" s="9" t="s">
        <v>8</v>
      </c>
      <c r="AK2" s="9" t="s">
        <v>9</v>
      </c>
      <c r="AL2" s="9" t="s">
        <v>10</v>
      </c>
    </row>
    <row r="3">
      <c r="B3" s="10" t="s">
        <v>11</v>
      </c>
      <c r="C3" s="10" t="s">
        <v>12</v>
      </c>
      <c r="D3" s="10" t="s">
        <v>13</v>
      </c>
      <c r="E3" s="10" t="s">
        <v>59</v>
      </c>
      <c r="F3" s="10" t="s">
        <v>15</v>
      </c>
      <c r="G3" s="10" t="s">
        <v>11</v>
      </c>
      <c r="H3" s="10" t="s">
        <v>12</v>
      </c>
      <c r="I3" s="10" t="s">
        <v>13</v>
      </c>
      <c r="J3" s="10" t="s">
        <v>59</v>
      </c>
      <c r="K3" s="10" t="s">
        <v>15</v>
      </c>
      <c r="L3" s="10" t="s">
        <v>11</v>
      </c>
      <c r="M3" s="10" t="s">
        <v>12</v>
      </c>
      <c r="N3" s="10" t="s">
        <v>13</v>
      </c>
      <c r="O3" s="10" t="s">
        <v>59</v>
      </c>
      <c r="P3" s="10" t="s">
        <v>15</v>
      </c>
      <c r="Q3" s="11" t="s">
        <v>11</v>
      </c>
      <c r="R3" s="11" t="s">
        <v>12</v>
      </c>
      <c r="S3" s="11" t="s">
        <v>13</v>
      </c>
      <c r="T3" s="11" t="s">
        <v>59</v>
      </c>
      <c r="U3" s="11" t="s">
        <v>15</v>
      </c>
      <c r="V3" s="11" t="s">
        <v>11</v>
      </c>
      <c r="W3" s="11" t="s">
        <v>12</v>
      </c>
      <c r="X3" s="11" t="s">
        <v>13</v>
      </c>
      <c r="Y3" s="11" t="s">
        <v>59</v>
      </c>
      <c r="Z3" s="11" t="s">
        <v>15</v>
      </c>
      <c r="AA3" s="11" t="s">
        <v>11</v>
      </c>
      <c r="AB3" s="11" t="s">
        <v>12</v>
      </c>
      <c r="AC3" s="11" t="s">
        <v>13</v>
      </c>
      <c r="AD3" s="11" t="s">
        <v>59</v>
      </c>
      <c r="AE3" s="11" t="s">
        <v>15</v>
      </c>
      <c r="AF3" s="12"/>
      <c r="AG3" s="13"/>
      <c r="AH3" s="13"/>
      <c r="AI3" s="13"/>
      <c r="AJ3" s="13"/>
      <c r="AK3" s="13"/>
      <c r="AL3" s="13"/>
    </row>
    <row r="4">
      <c r="A4" s="14" t="s">
        <v>16</v>
      </c>
      <c r="B4" s="15">
        <v>0.0</v>
      </c>
      <c r="C4" s="16">
        <v>0.0280505271255</v>
      </c>
      <c r="D4" s="16">
        <v>0.0</v>
      </c>
      <c r="E4" s="16">
        <v>0.0</v>
      </c>
      <c r="F4" s="16">
        <v>0.00289684504685</v>
      </c>
      <c r="G4" s="16">
        <v>0.0</v>
      </c>
      <c r="H4" s="16">
        <v>0.03347346641</v>
      </c>
      <c r="I4" s="16">
        <v>0.0</v>
      </c>
      <c r="J4" s="16">
        <v>0.0</v>
      </c>
      <c r="K4" s="16">
        <v>0.00261638723</v>
      </c>
      <c r="L4" s="16">
        <v>0.0</v>
      </c>
      <c r="M4" s="16">
        <v>0.01321105739591923</v>
      </c>
      <c r="N4" s="16">
        <v>0.0</v>
      </c>
      <c r="O4" s="16">
        <v>0.0</v>
      </c>
      <c r="P4" s="16">
        <v>9.437294413618811E-4</v>
      </c>
      <c r="Q4" s="15">
        <v>0.00183055972</v>
      </c>
      <c r="R4" s="15">
        <v>0.0132642031985</v>
      </c>
      <c r="S4" s="15">
        <v>0.00183055972</v>
      </c>
      <c r="T4" s="15">
        <v>0.00183055972</v>
      </c>
      <c r="U4" s="15">
        <v>0.00183055972</v>
      </c>
      <c r="V4" s="15">
        <v>0.00183055972</v>
      </c>
      <c r="W4" s="15">
        <v>0.01358217626</v>
      </c>
      <c r="X4" s="15">
        <v>0.00183055972</v>
      </c>
      <c r="Y4" s="15">
        <v>0.00183055972</v>
      </c>
      <c r="Z4" s="15">
        <v>0.00183055972</v>
      </c>
      <c r="AA4" s="15">
        <v>0.0</v>
      </c>
      <c r="AB4" s="16">
        <v>0.003502758293443755</v>
      </c>
      <c r="AC4" s="16">
        <v>0.0</v>
      </c>
      <c r="AD4" s="16">
        <v>0.0</v>
      </c>
      <c r="AE4" s="16">
        <v>0.0</v>
      </c>
      <c r="AG4" s="16">
        <v>0.5839639374</v>
      </c>
      <c r="AH4" s="16">
        <v>0.5934961299</v>
      </c>
      <c r="AI4" s="16">
        <v>0.01611693244</v>
      </c>
      <c r="AJ4" s="16">
        <v>0.5987346052</v>
      </c>
      <c r="AK4" s="16">
        <v>0.5987346052</v>
      </c>
      <c r="AL4" s="16">
        <v>0.02497138401</v>
      </c>
    </row>
    <row r="5">
      <c r="A5" s="14" t="s">
        <v>17</v>
      </c>
      <c r="B5" s="15">
        <v>0.012479492231</v>
      </c>
      <c r="C5" s="16">
        <v>0.026410090288</v>
      </c>
      <c r="D5" s="16">
        <v>0.013175620953</v>
      </c>
      <c r="E5" s="16">
        <v>0.01213142787</v>
      </c>
      <c r="F5" s="16">
        <v>0.0202803952095</v>
      </c>
      <c r="G5" s="16">
        <v>0.01213142787</v>
      </c>
      <c r="H5" s="16">
        <v>0.026488988575</v>
      </c>
      <c r="I5" s="16">
        <v>0.01213142787</v>
      </c>
      <c r="J5" s="16">
        <v>0.01213142787</v>
      </c>
      <c r="K5" s="16">
        <v>0.01299856967</v>
      </c>
      <c r="L5" s="16">
        <v>0.001044193083</v>
      </c>
      <c r="M5" s="16">
        <v>0.006759393123727651</v>
      </c>
      <c r="N5" s="16">
        <v>0.001595031280998936</v>
      </c>
      <c r="O5" s="16">
        <v>1.734723475976807E-18</v>
      </c>
      <c r="P5" s="16">
        <v>0.01222655808678592</v>
      </c>
      <c r="Q5" s="15">
        <v>2.4205706019E-4</v>
      </c>
      <c r="R5" s="15">
        <v>0.01743927200385</v>
      </c>
      <c r="S5" s="15">
        <v>4.8411412038E-4</v>
      </c>
      <c r="T5" s="15">
        <v>0.0</v>
      </c>
      <c r="U5" s="15">
        <v>0.00414638014677</v>
      </c>
      <c r="V5" s="15">
        <v>0.0</v>
      </c>
      <c r="W5" s="15">
        <v>0.01621658899</v>
      </c>
      <c r="X5" s="15">
        <v>5.379045782E-4</v>
      </c>
      <c r="Y5" s="15">
        <v>0.0</v>
      </c>
      <c r="Z5" s="15">
        <v>5.379045782E-4</v>
      </c>
      <c r="AA5" s="15">
        <v>2.676041488355677E-4</v>
      </c>
      <c r="AB5" s="16">
        <v>0.008161721314291529</v>
      </c>
      <c r="AC5" s="16">
        <v>1.6137137346E-4</v>
      </c>
      <c r="AD5" s="16">
        <v>0.0</v>
      </c>
      <c r="AE5" s="16">
        <v>0.00543696654174086</v>
      </c>
      <c r="AG5" s="16">
        <v>0.6492274645</v>
      </c>
      <c r="AH5" s="16">
        <v>0.6492274645</v>
      </c>
      <c r="AI5" s="16">
        <v>0.03462706428</v>
      </c>
      <c r="AJ5" s="16">
        <v>0.6310255045</v>
      </c>
      <c r="AK5" s="16">
        <v>0.6721039105</v>
      </c>
      <c r="AL5" s="16">
        <v>0.02386631817</v>
      </c>
    </row>
    <row r="6">
      <c r="A6" s="14" t="s">
        <v>18</v>
      </c>
      <c r="B6" s="15">
        <v>0.006179208490000001</v>
      </c>
      <c r="C6" s="16">
        <v>0.0456307111885</v>
      </c>
      <c r="D6" s="16">
        <v>0.006179208490000001</v>
      </c>
      <c r="E6" s="16">
        <v>0.006179208490000001</v>
      </c>
      <c r="F6" s="16">
        <v>0.0137271125269</v>
      </c>
      <c r="G6" s="16">
        <v>0.00617920849</v>
      </c>
      <c r="H6" s="16">
        <v>0.05184337626</v>
      </c>
      <c r="I6" s="16">
        <v>0.00617920849</v>
      </c>
      <c r="J6" s="16">
        <v>0.00617920849</v>
      </c>
      <c r="K6" s="16">
        <v>0.007001345519</v>
      </c>
      <c r="L6" s="16">
        <v>8.673617379884035E-19</v>
      </c>
      <c r="M6" s="16">
        <v>0.0177723986262795</v>
      </c>
      <c r="N6" s="16">
        <v>8.673617379884035E-19</v>
      </c>
      <c r="O6" s="16">
        <v>8.673617379884035E-19</v>
      </c>
      <c r="P6" s="16">
        <v>0.01388667390589173</v>
      </c>
      <c r="Q6" s="15">
        <v>0.0</v>
      </c>
      <c r="R6" s="15">
        <v>0.01374708931435</v>
      </c>
      <c r="S6" s="15">
        <v>0.0</v>
      </c>
      <c r="T6" s="15">
        <v>0.0</v>
      </c>
      <c r="U6" s="15">
        <v>0.0014967346884</v>
      </c>
      <c r="V6" s="15">
        <v>0.0</v>
      </c>
      <c r="W6" s="15">
        <v>0.014689322875</v>
      </c>
      <c r="X6" s="15">
        <v>0.0</v>
      </c>
      <c r="Y6" s="15">
        <v>0.0</v>
      </c>
      <c r="Z6" s="15">
        <v>0.0</v>
      </c>
      <c r="AA6" s="15">
        <v>0.0</v>
      </c>
      <c r="AB6" s="16">
        <v>0.006256520588294037</v>
      </c>
      <c r="AC6" s="16">
        <v>0.0</v>
      </c>
      <c r="AD6" s="16">
        <v>0.0</v>
      </c>
      <c r="AE6" s="16">
        <v>0.003562941217908662</v>
      </c>
      <c r="AG6" s="16">
        <v>0.6691329066</v>
      </c>
      <c r="AH6" s="16">
        <v>0.7555858627</v>
      </c>
      <c r="AI6" s="16">
        <v>0.06514893115</v>
      </c>
      <c r="AJ6" s="16">
        <v>0.5981279388</v>
      </c>
      <c r="AK6" s="16">
        <v>0.7473357497</v>
      </c>
      <c r="AL6" s="16">
        <v>0.0134152904</v>
      </c>
    </row>
    <row r="7">
      <c r="A7" s="14" t="s">
        <v>19</v>
      </c>
      <c r="B7" s="15">
        <v>0.0</v>
      </c>
      <c r="C7" s="16">
        <v>0.007658070408499999</v>
      </c>
      <c r="D7" s="16">
        <v>0.0</v>
      </c>
      <c r="E7" s="16">
        <v>0.0</v>
      </c>
      <c r="F7" s="16">
        <v>0.0</v>
      </c>
      <c r="G7" s="16">
        <v>0.0</v>
      </c>
      <c r="H7" s="16">
        <v>0.0064738991445</v>
      </c>
      <c r="I7" s="16">
        <v>0.0</v>
      </c>
      <c r="J7" s="16">
        <v>0.0</v>
      </c>
      <c r="K7" s="16">
        <v>0.0</v>
      </c>
      <c r="L7" s="16">
        <v>0.0</v>
      </c>
      <c r="M7" s="16">
        <v>0.004429344507529389</v>
      </c>
      <c r="N7" s="16">
        <v>0.0</v>
      </c>
      <c r="O7" s="16">
        <v>0.0</v>
      </c>
      <c r="P7" s="16">
        <v>0.0</v>
      </c>
      <c r="Q7" s="15">
        <v>0.0014519593326</v>
      </c>
      <c r="R7" s="15">
        <v>0.01356169337615</v>
      </c>
      <c r="S7" s="15">
        <v>0.0014519593326</v>
      </c>
      <c r="T7" s="15">
        <v>0.0</v>
      </c>
      <c r="U7" s="15">
        <v>0.003654704515474999</v>
      </c>
      <c r="V7" s="15">
        <v>0.0</v>
      </c>
      <c r="W7" s="15">
        <v>0.0149225124</v>
      </c>
      <c r="X7" s="15">
        <v>0.0</v>
      </c>
      <c r="Y7" s="15">
        <v>0.0</v>
      </c>
      <c r="Z7" s="15">
        <v>0.004309102192</v>
      </c>
      <c r="AA7" s="15">
        <v>0.001978687037471893</v>
      </c>
      <c r="AB7" s="16">
        <v>0.00794999734743229</v>
      </c>
      <c r="AC7" s="16">
        <v>0.001978687037471893</v>
      </c>
      <c r="AD7" s="16">
        <v>0.0</v>
      </c>
      <c r="AE7" s="16">
        <v>0.001469141686834595</v>
      </c>
      <c r="AG7" s="16">
        <v>0.6389636914</v>
      </c>
      <c r="AH7" s="16">
        <v>0.6389636914</v>
      </c>
      <c r="AI7" s="16">
        <v>0.01122020012</v>
      </c>
      <c r="AJ7" s="16">
        <v>0.7011567295</v>
      </c>
      <c r="AK7" s="16">
        <v>0.7011567295</v>
      </c>
      <c r="AL7" s="16">
        <v>0.005479452</v>
      </c>
    </row>
    <row r="8">
      <c r="A8" s="14" t="s">
        <v>20</v>
      </c>
      <c r="B8" s="15">
        <v>0.001263618118</v>
      </c>
      <c r="C8" s="16">
        <v>0.033414138474</v>
      </c>
      <c r="D8" s="16">
        <v>0.001263618118</v>
      </c>
      <c r="E8" s="16">
        <v>0.001263618118</v>
      </c>
      <c r="F8" s="16">
        <v>0.0096049196594</v>
      </c>
      <c r="G8" s="16">
        <v>0.001263618118</v>
      </c>
      <c r="H8" s="16">
        <v>0.03564266183000001</v>
      </c>
      <c r="I8" s="16">
        <v>0.001263618118</v>
      </c>
      <c r="J8" s="16">
        <v>0.001263618118</v>
      </c>
      <c r="K8" s="16">
        <v>0.01050680737</v>
      </c>
      <c r="L8" s="16">
        <v>0.0</v>
      </c>
      <c r="M8" s="16">
        <v>0.01449551481971653</v>
      </c>
      <c r="N8" s="16">
        <v>0.0</v>
      </c>
      <c r="O8" s="16">
        <v>0.0</v>
      </c>
      <c r="P8" s="16">
        <v>0.01358280825753153</v>
      </c>
      <c r="Q8" s="15">
        <v>0.004912526091</v>
      </c>
      <c r="R8" s="15">
        <v>0.01426673002765</v>
      </c>
      <c r="S8" s="15">
        <v>0.004912526091</v>
      </c>
      <c r="T8" s="15">
        <v>0.004912526091</v>
      </c>
      <c r="U8" s="15">
        <v>0.005243201323299999</v>
      </c>
      <c r="V8" s="15">
        <v>0.004912526091</v>
      </c>
      <c r="W8" s="15">
        <v>0.015178163035</v>
      </c>
      <c r="X8" s="15">
        <v>0.004912526091</v>
      </c>
      <c r="Y8" s="15">
        <v>0.004912526091</v>
      </c>
      <c r="Z8" s="15">
        <v>0.00538491928</v>
      </c>
      <c r="AA8" s="15">
        <v>0.0</v>
      </c>
      <c r="AB8" s="16">
        <v>0.004587524221341771</v>
      </c>
      <c r="AC8" s="16">
        <v>0.0</v>
      </c>
      <c r="AD8" s="16">
        <v>0.0</v>
      </c>
      <c r="AE8" s="16">
        <v>2.164777546374082E-4</v>
      </c>
      <c r="AG8" s="16">
        <v>0.6829550533</v>
      </c>
      <c r="AH8" s="16">
        <v>0.6829550533</v>
      </c>
      <c r="AI8" s="16">
        <v>0.02989995953</v>
      </c>
      <c r="AJ8" s="16">
        <v>0.5989328998</v>
      </c>
      <c r="AK8" s="16">
        <v>0.599413676</v>
      </c>
      <c r="AL8" s="16">
        <v>0.06903733493</v>
      </c>
    </row>
    <row r="9">
      <c r="A9" s="14" t="s">
        <v>21</v>
      </c>
      <c r="B9" s="15">
        <v>0.001140246015</v>
      </c>
      <c r="C9" s="16">
        <v>0.01931278003265</v>
      </c>
      <c r="D9" s="16">
        <v>0.00270289342175</v>
      </c>
      <c r="E9" s="16">
        <v>0.001140246015</v>
      </c>
      <c r="F9" s="16">
        <v>0.0111067244871</v>
      </c>
      <c r="G9" s="16">
        <v>0.001140246015</v>
      </c>
      <c r="H9" s="16">
        <v>0.019176241845</v>
      </c>
      <c r="I9" s="16">
        <v>0.001183593106</v>
      </c>
      <c r="J9" s="16">
        <v>0.001140246015</v>
      </c>
      <c r="K9" s="16">
        <v>0.006639875903</v>
      </c>
      <c r="L9" s="16">
        <v>2.168404344971009E-19</v>
      </c>
      <c r="M9" s="16">
        <v>0.006719827320075238</v>
      </c>
      <c r="N9" s="16">
        <v>0.002309341002374096</v>
      </c>
      <c r="O9" s="16">
        <v>2.168404344971009E-19</v>
      </c>
      <c r="P9" s="16">
        <v>0.0100610890626242</v>
      </c>
      <c r="Q9" s="15">
        <v>0.003767023642999999</v>
      </c>
      <c r="R9" s="15">
        <v>0.02354745184515001</v>
      </c>
      <c r="S9" s="15">
        <v>0.003767023642999999</v>
      </c>
      <c r="T9" s="15">
        <v>0.003767023642999999</v>
      </c>
      <c r="U9" s="15">
        <v>0.004495288877699999</v>
      </c>
      <c r="V9" s="15">
        <v>0.003767023643</v>
      </c>
      <c r="W9" s="15">
        <v>0.023836847765</v>
      </c>
      <c r="X9" s="15">
        <v>0.003767023643</v>
      </c>
      <c r="Y9" s="15">
        <v>0.003767023643</v>
      </c>
      <c r="Z9" s="15">
        <v>0.003767023643</v>
      </c>
      <c r="AA9" s="15">
        <v>8.673617379884035E-19</v>
      </c>
      <c r="AB9" s="16">
        <v>0.01094236005938041</v>
      </c>
      <c r="AC9" s="16">
        <v>8.673617379884035E-19</v>
      </c>
      <c r="AD9" s="16">
        <v>8.673617379884035E-19</v>
      </c>
      <c r="AE9" s="16">
        <v>0.0021847957041</v>
      </c>
      <c r="AG9" s="16">
        <v>0.6424450341</v>
      </c>
      <c r="AH9" s="16">
        <v>0.6702537069</v>
      </c>
      <c r="AI9" s="16">
        <v>0.02839724736</v>
      </c>
      <c r="AJ9" s="16">
        <v>0.6059290053</v>
      </c>
      <c r="AK9" s="16">
        <v>0.6059290053</v>
      </c>
      <c r="AL9" s="16">
        <v>0.05805981528</v>
      </c>
    </row>
    <row r="10">
      <c r="A10" s="14" t="s">
        <v>22</v>
      </c>
      <c r="B10" s="15">
        <v>0.06687020749349999</v>
      </c>
      <c r="C10" s="16">
        <v>0.0496925532815</v>
      </c>
      <c r="D10" s="16">
        <v>0.0309998945505</v>
      </c>
      <c r="E10" s="16">
        <v>0.0307080670175</v>
      </c>
      <c r="F10" s="16">
        <v>0.1024657900155</v>
      </c>
      <c r="G10" s="16">
        <v>0.06628769047</v>
      </c>
      <c r="H10" s="16">
        <v>0.048505093425</v>
      </c>
      <c r="I10" s="16">
        <v>0.029408494075</v>
      </c>
      <c r="J10" s="16">
        <v>0.030679812705</v>
      </c>
      <c r="K10" s="16">
        <v>0.10204206965</v>
      </c>
      <c r="L10" s="16">
        <v>0.001564898431889431</v>
      </c>
      <c r="M10" s="16">
        <v>0.003429647591715355</v>
      </c>
      <c r="N10" s="16">
        <v>0.005704117392355341</v>
      </c>
      <c r="O10" s="16">
        <v>0.003084632050850611</v>
      </c>
      <c r="P10" s="16">
        <v>0.01541831129149198</v>
      </c>
      <c r="Q10" s="15">
        <v>0.03827082294050001</v>
      </c>
      <c r="R10" s="15">
        <v>0.036186849615</v>
      </c>
      <c r="S10" s="15">
        <v>0.01864269981995</v>
      </c>
      <c r="T10" s="15">
        <v>0.0183118410685</v>
      </c>
      <c r="U10" s="15">
        <v>0.0681227785995</v>
      </c>
      <c r="V10" s="15">
        <v>0.03703440169</v>
      </c>
      <c r="W10" s="15">
        <v>0.035603438085</v>
      </c>
      <c r="X10" s="15">
        <v>0.019829139855</v>
      </c>
      <c r="Y10" s="15">
        <v>0.018229129485</v>
      </c>
      <c r="Z10" s="15">
        <v>0.06071128506</v>
      </c>
      <c r="AA10" s="15">
        <v>0.002198822571774625</v>
      </c>
      <c r="AB10" s="16">
        <v>0.003236517608569506</v>
      </c>
      <c r="AC10" s="16">
        <v>0.005355830277976385</v>
      </c>
      <c r="AD10" s="16">
        <v>0.001959704918030027</v>
      </c>
      <c r="AE10" s="16">
        <v>0.02369515865061034</v>
      </c>
      <c r="AG10" s="16">
        <v>0.6709623766</v>
      </c>
      <c r="AH10" s="16">
        <v>0.6709623766</v>
      </c>
      <c r="AI10" s="16">
        <v>0.06796785475</v>
      </c>
      <c r="AJ10" s="16">
        <v>0.6780711099</v>
      </c>
      <c r="AK10" s="16">
        <v>0.6861916506</v>
      </c>
      <c r="AL10" s="16">
        <v>0.07877597244</v>
      </c>
    </row>
    <row r="11">
      <c r="A11" s="14" t="s">
        <v>23</v>
      </c>
      <c r="B11" s="15">
        <v>0.09253183367099999</v>
      </c>
      <c r="C11" s="16">
        <v>0.06867988300649999</v>
      </c>
      <c r="D11" s="16">
        <v>0.031523472226</v>
      </c>
      <c r="E11" s="16">
        <v>0.035611879815</v>
      </c>
      <c r="F11" s="16">
        <v>0.087366567341</v>
      </c>
      <c r="G11" s="16">
        <v>0.09307191304</v>
      </c>
      <c r="H11" s="16">
        <v>0.06887903544</v>
      </c>
      <c r="I11" s="16">
        <v>0.0352874152</v>
      </c>
      <c r="J11" s="16">
        <v>0.035792026235</v>
      </c>
      <c r="K11" s="16">
        <v>0.06746463695</v>
      </c>
      <c r="L11" s="16">
        <v>9.438947941755237E-4</v>
      </c>
      <c r="M11" s="16">
        <v>0.007093789555818427</v>
      </c>
      <c r="N11" s="16">
        <v>0.009400482264441444</v>
      </c>
      <c r="O11" s="16">
        <v>0.004604634113884717</v>
      </c>
      <c r="P11" s="16">
        <v>0.04256756888126704</v>
      </c>
      <c r="Q11" s="15">
        <v>0.09188317951899999</v>
      </c>
      <c r="R11" s="15">
        <v>0.0515483916</v>
      </c>
      <c r="S11" s="15">
        <v>0.028832519041</v>
      </c>
      <c r="T11" s="15">
        <v>0.0276943101235</v>
      </c>
      <c r="U11" s="15">
        <v>0.07985933476249998</v>
      </c>
      <c r="V11" s="15">
        <v>0.091771242325</v>
      </c>
      <c r="W11" s="15">
        <v>0.05171537707</v>
      </c>
      <c r="X11" s="15">
        <v>0.027327149725</v>
      </c>
      <c r="Y11" s="15">
        <v>0.027955062825</v>
      </c>
      <c r="Z11" s="15">
        <v>0.07707130313</v>
      </c>
      <c r="AA11" s="15">
        <v>0.001173689735741152</v>
      </c>
      <c r="AB11" s="16">
        <v>0.004394960791051734</v>
      </c>
      <c r="AC11" s="16">
        <v>0.006511945058771786</v>
      </c>
      <c r="AD11" s="16">
        <v>0.002766220898712575</v>
      </c>
      <c r="AE11" s="16">
        <v>0.02357002654713572</v>
      </c>
      <c r="AG11" s="16">
        <v>0.6605969375</v>
      </c>
      <c r="AH11" s="16">
        <v>0.6605969375</v>
      </c>
      <c r="AI11" s="16">
        <v>0.1130276313</v>
      </c>
      <c r="AJ11" s="16">
        <v>0.6949148928</v>
      </c>
      <c r="AK11" s="16">
        <v>0.6808571156</v>
      </c>
      <c r="AL11" s="16">
        <v>0.1285928026</v>
      </c>
    </row>
    <row r="12">
      <c r="A12" s="14" t="s">
        <v>24</v>
      </c>
      <c r="B12" s="15">
        <v>0.078965282736</v>
      </c>
      <c r="C12" s="16">
        <v>0.0633875148975</v>
      </c>
      <c r="D12" s="16">
        <v>0.0268387528205</v>
      </c>
      <c r="E12" s="16">
        <v>0.0312394299505</v>
      </c>
      <c r="F12" s="16">
        <v>0.112416428473</v>
      </c>
      <c r="G12" s="16">
        <v>0.07851072337000001</v>
      </c>
      <c r="H12" s="16">
        <v>0.06324186335</v>
      </c>
      <c r="I12" s="16">
        <v>0.02334678511</v>
      </c>
      <c r="J12" s="16">
        <v>0.03116899281</v>
      </c>
      <c r="K12" s="16">
        <v>0.10941359</v>
      </c>
      <c r="L12" s="16">
        <v>0.001242575140161192</v>
      </c>
      <c r="M12" s="16">
        <v>0.003612173599764886</v>
      </c>
      <c r="N12" s="16">
        <v>0.008986304558240161</v>
      </c>
      <c r="O12" s="16">
        <v>0.003893769480358022</v>
      </c>
      <c r="P12" s="16">
        <v>0.0372767814689084</v>
      </c>
      <c r="Q12" s="15">
        <v>0.072453684835</v>
      </c>
      <c r="R12" s="15">
        <v>0.04435403305549999</v>
      </c>
      <c r="S12" s="15">
        <v>0.02655420441749999</v>
      </c>
      <c r="T12" s="15">
        <v>0.024423965568</v>
      </c>
      <c r="U12" s="15">
        <v>0.105326272356</v>
      </c>
      <c r="V12" s="15">
        <v>0.071801281885</v>
      </c>
      <c r="W12" s="15">
        <v>0.04532859399</v>
      </c>
      <c r="X12" s="15">
        <v>0.026984636845</v>
      </c>
      <c r="Y12" s="15">
        <v>0.02532210345</v>
      </c>
      <c r="Z12" s="15">
        <v>0.08700669389</v>
      </c>
      <c r="AA12" s="15">
        <v>0.001762053232562397</v>
      </c>
      <c r="AB12" s="16">
        <v>0.003832880347936648</v>
      </c>
      <c r="AC12" s="16">
        <v>0.00634185675016288</v>
      </c>
      <c r="AD12" s="16">
        <v>0.003965517224803841</v>
      </c>
      <c r="AE12" s="16">
        <v>0.04162496970294804</v>
      </c>
      <c r="AG12" s="16">
        <v>0.7644835619</v>
      </c>
      <c r="AH12" s="16">
        <v>0.7644835619</v>
      </c>
      <c r="AI12" s="16">
        <v>0.1265126228</v>
      </c>
      <c r="AJ12" s="16">
        <v>0.6584226787</v>
      </c>
      <c r="AK12" s="16">
        <v>0.6584226787</v>
      </c>
      <c r="AL12" s="16">
        <v>0.1224473781</v>
      </c>
    </row>
    <row r="13">
      <c r="A13" s="14" t="s">
        <v>25</v>
      </c>
      <c r="B13" s="15">
        <v>0.008690567601999998</v>
      </c>
      <c r="C13" s="16">
        <v>0.047538320629</v>
      </c>
      <c r="D13" s="16">
        <v>0.01771366626165</v>
      </c>
      <c r="E13" s="16">
        <v>0.0248973581425</v>
      </c>
      <c r="F13" s="16">
        <v>0.07733880636999999</v>
      </c>
      <c r="G13" s="16">
        <v>0.008690567602</v>
      </c>
      <c r="H13" s="16">
        <v>0.0462543246</v>
      </c>
      <c r="I13" s="16">
        <v>0.017672078795</v>
      </c>
      <c r="J13" s="16">
        <v>0.024345425055</v>
      </c>
      <c r="K13" s="16">
        <v>0.062316196735</v>
      </c>
      <c r="L13" s="16">
        <v>1.734723475976807E-18</v>
      </c>
      <c r="M13" s="16">
        <v>0.008022600875697984</v>
      </c>
      <c r="N13" s="16">
        <v>0.006321779408318485</v>
      </c>
      <c r="O13" s="16">
        <v>0.003604192940773767</v>
      </c>
      <c r="P13" s="16">
        <v>0.03666079678768706</v>
      </c>
      <c r="Q13" s="15">
        <v>0.0089079809861</v>
      </c>
      <c r="R13" s="15">
        <v>0.048814130809</v>
      </c>
      <c r="S13" s="15">
        <v>0.0206569616727</v>
      </c>
      <c r="T13" s="15">
        <v>0.0218923834475</v>
      </c>
      <c r="U13" s="15">
        <v>0.07633663495100002</v>
      </c>
      <c r="V13" s="15">
        <v>0.0075116377895</v>
      </c>
      <c r="W13" s="15">
        <v>0.0497420861</v>
      </c>
      <c r="X13" s="15">
        <v>0.01922721897</v>
      </c>
      <c r="Y13" s="15">
        <v>0.023012996235</v>
      </c>
      <c r="Z13" s="15">
        <v>0.06725054816</v>
      </c>
      <c r="AA13" s="15">
        <v>0.002887648891483604</v>
      </c>
      <c r="AB13" s="16">
        <v>0.004333964885904557</v>
      </c>
      <c r="AC13" s="16">
        <v>0.00772616226784244</v>
      </c>
      <c r="AD13" s="16">
        <v>0.003983125931141445</v>
      </c>
      <c r="AE13" s="16">
        <v>0.02241717183346948</v>
      </c>
      <c r="AG13" s="16">
        <v>0.673917115</v>
      </c>
      <c r="AH13" s="16">
        <v>0.6754756618</v>
      </c>
      <c r="AI13" s="16">
        <v>0.08543879918</v>
      </c>
      <c r="AJ13" s="16">
        <v>0.7103614195</v>
      </c>
      <c r="AK13" s="16">
        <v>0.7168001133</v>
      </c>
      <c r="AL13" s="16">
        <v>0.0321156894</v>
      </c>
    </row>
    <row r="14">
      <c r="A14" s="14" t="s">
        <v>26</v>
      </c>
      <c r="B14" s="15">
        <v>0.058874032297</v>
      </c>
      <c r="C14" s="16">
        <v>0.06039997059199999</v>
      </c>
      <c r="D14" s="16">
        <v>0.0326146950246</v>
      </c>
      <c r="E14" s="16">
        <v>0.030560963765</v>
      </c>
      <c r="F14" s="16">
        <v>0.110898483907</v>
      </c>
      <c r="G14" s="16">
        <v>0.05866415322</v>
      </c>
      <c r="H14" s="16">
        <v>0.05908661552</v>
      </c>
      <c r="I14" s="16">
        <v>0.029312824485</v>
      </c>
      <c r="J14" s="16">
        <v>0.031481042705</v>
      </c>
      <c r="K14" s="16">
        <v>0.1113162178</v>
      </c>
      <c r="L14" s="16">
        <v>0.002006471375671052</v>
      </c>
      <c r="M14" s="16">
        <v>0.006697573141841878</v>
      </c>
      <c r="N14" s="16">
        <v>0.01254834370961755</v>
      </c>
      <c r="O14" s="16">
        <v>0.006378568398739464</v>
      </c>
      <c r="P14" s="16">
        <v>0.04467764381963137</v>
      </c>
      <c r="Q14" s="15">
        <v>0.08363351487599999</v>
      </c>
      <c r="R14" s="15">
        <v>0.046157334941</v>
      </c>
      <c r="S14" s="15">
        <v>0.02099499199925</v>
      </c>
      <c r="T14" s="15">
        <v>0.0206778054635</v>
      </c>
      <c r="U14" s="15">
        <v>0.09672855137650001</v>
      </c>
      <c r="V14" s="15">
        <v>0.08300910580000001</v>
      </c>
      <c r="W14" s="15">
        <v>0.0450489744</v>
      </c>
      <c r="X14" s="15">
        <v>0.02206239489</v>
      </c>
      <c r="Y14" s="15">
        <v>0.020004346335</v>
      </c>
      <c r="Z14" s="15">
        <v>0.092207922335</v>
      </c>
      <c r="AA14" s="15">
        <v>0.00271468650117171</v>
      </c>
      <c r="AB14" s="16">
        <v>0.007744374113050142</v>
      </c>
      <c r="AC14" s="16">
        <v>0.006998327399220229</v>
      </c>
      <c r="AD14" s="16">
        <v>0.005342996103173575</v>
      </c>
      <c r="AE14" s="16">
        <v>0.04329478626938935</v>
      </c>
      <c r="AG14" s="16">
        <v>0.7134327617</v>
      </c>
      <c r="AH14" s="16">
        <v>0.6978125751</v>
      </c>
      <c r="AI14" s="16">
        <v>0.1005349133</v>
      </c>
      <c r="AJ14" s="16">
        <v>0.7065971798</v>
      </c>
      <c r="AK14" s="16">
        <v>0.7248770003</v>
      </c>
      <c r="AL14" s="16">
        <v>0.07857432563</v>
      </c>
    </row>
    <row r="15">
      <c r="A15" s="14" t="s">
        <v>27</v>
      </c>
      <c r="B15" s="15">
        <v>0.0825317844015</v>
      </c>
      <c r="C15" s="16">
        <v>0.04503164494199999</v>
      </c>
      <c r="D15" s="16">
        <v>0.02045103658075</v>
      </c>
      <c r="E15" s="16">
        <v>0.017623305741</v>
      </c>
      <c r="F15" s="16">
        <v>0.09033154998750001</v>
      </c>
      <c r="G15" s="16">
        <v>0.08218378635000001</v>
      </c>
      <c r="H15" s="16">
        <v>0.044222524945</v>
      </c>
      <c r="I15" s="16">
        <v>0.026659616135</v>
      </c>
      <c r="J15" s="16">
        <v>0.0181963527</v>
      </c>
      <c r="K15" s="16">
        <v>0.070526033615</v>
      </c>
      <c r="L15" s="16">
        <v>0.001242995064358038</v>
      </c>
      <c r="M15" s="16">
        <v>0.005099857937221442</v>
      </c>
      <c r="N15" s="16">
        <v>0.009430876642134541</v>
      </c>
      <c r="O15" s="16">
        <v>0.003637927973007754</v>
      </c>
      <c r="P15" s="16">
        <v>0.04972385909970459</v>
      </c>
      <c r="Q15" s="15">
        <v>0.120442615415</v>
      </c>
      <c r="R15" s="15">
        <v>0.04215482178799999</v>
      </c>
      <c r="S15" s="15">
        <v>0.0156567405591</v>
      </c>
      <c r="T15" s="15">
        <v>0.0180659243895</v>
      </c>
      <c r="U15" s="15">
        <v>0.08117268946349998</v>
      </c>
      <c r="V15" s="15">
        <v>0.1200504503</v>
      </c>
      <c r="W15" s="15">
        <v>0.041403343315</v>
      </c>
      <c r="X15" s="15">
        <v>0.01868684281</v>
      </c>
      <c r="Y15" s="15">
        <v>0.018680606135</v>
      </c>
      <c r="Z15" s="15">
        <v>0.07869568948</v>
      </c>
      <c r="AA15" s="15">
        <v>8.347071934227125E-4</v>
      </c>
      <c r="AB15" s="16">
        <v>0.006140118327151099</v>
      </c>
      <c r="AC15" s="16">
        <v>0.007448576581923263</v>
      </c>
      <c r="AD15" s="16">
        <v>0.003072447499309725</v>
      </c>
      <c r="AE15" s="16">
        <v>0.03809267891320758</v>
      </c>
      <c r="AG15" s="16">
        <v>0.8262577624</v>
      </c>
      <c r="AH15" s="16">
        <v>0.8262577624</v>
      </c>
      <c r="AI15" s="16">
        <v>0.1980920649</v>
      </c>
      <c r="AJ15" s="16">
        <v>0.6929236729</v>
      </c>
      <c r="AK15" s="16">
        <v>0.7353131236</v>
      </c>
      <c r="AL15" s="16">
        <v>0.08497711866</v>
      </c>
    </row>
    <row r="16">
      <c r="A16" s="14" t="s">
        <v>28</v>
      </c>
      <c r="B16" s="15">
        <v>0.025185325579</v>
      </c>
      <c r="C16" s="16">
        <v>0.102469879259</v>
      </c>
      <c r="D16" s="16">
        <v>0.05489741372649999</v>
      </c>
      <c r="E16" s="16">
        <v>0.06634786267449999</v>
      </c>
      <c r="F16" s="16">
        <v>0.1210724388315</v>
      </c>
      <c r="G16" s="16">
        <v>0.02549846846</v>
      </c>
      <c r="H16" s="16">
        <v>0.10232027245</v>
      </c>
      <c r="I16" s="16">
        <v>0.053258092205</v>
      </c>
      <c r="J16" s="16">
        <v>0.065349805735</v>
      </c>
      <c r="K16" s="16">
        <v>0.1165861372</v>
      </c>
      <c r="L16" s="16">
        <v>0.007104371643027007</v>
      </c>
      <c r="M16" s="16">
        <v>0.006918588458465272</v>
      </c>
      <c r="N16" s="16">
        <v>0.01619452470579428</v>
      </c>
      <c r="O16" s="16">
        <v>0.005591700428197483</v>
      </c>
      <c r="P16" s="16">
        <v>0.04073322115126182</v>
      </c>
      <c r="Q16" s="15">
        <v>0.05002749605150001</v>
      </c>
      <c r="R16" s="15">
        <v>0.0959977255685</v>
      </c>
      <c r="S16" s="15">
        <v>0.0475782615725</v>
      </c>
      <c r="T16" s="15">
        <v>0.0588435689285</v>
      </c>
      <c r="U16" s="15">
        <v>0.1268350385725</v>
      </c>
      <c r="V16" s="15">
        <v>0.048764613625</v>
      </c>
      <c r="W16" s="15">
        <v>0.09661933307000001</v>
      </c>
      <c r="X16" s="15">
        <v>0.04661632671</v>
      </c>
      <c r="Y16" s="15">
        <v>0.060076193665</v>
      </c>
      <c r="Z16" s="15">
        <v>0.1121365778</v>
      </c>
      <c r="AA16" s="15">
        <v>0.005318457446858889</v>
      </c>
      <c r="AB16" s="16">
        <v>0.007133191735848898</v>
      </c>
      <c r="AC16" s="16">
        <v>0.009061912355489709</v>
      </c>
      <c r="AD16" s="16">
        <v>0.006606392686659046</v>
      </c>
      <c r="AE16" s="16">
        <v>0.04118370093896723</v>
      </c>
      <c r="AG16" s="16">
        <v>0.738642066</v>
      </c>
      <c r="AH16" s="16">
        <v>0.6843115139</v>
      </c>
      <c r="AI16" s="16">
        <v>0.08499581251</v>
      </c>
      <c r="AJ16" s="16">
        <v>0.7037364668</v>
      </c>
      <c r="AK16" s="16">
        <v>0.7037364668</v>
      </c>
      <c r="AL16" s="16">
        <v>0.09066634924</v>
      </c>
    </row>
    <row r="17">
      <c r="A17" s="14" t="s">
        <v>29</v>
      </c>
      <c r="B17" s="15">
        <v>0.0208980215935</v>
      </c>
      <c r="C17" s="16">
        <v>0.074807777367</v>
      </c>
      <c r="D17" s="16">
        <v>0.0383478536975</v>
      </c>
      <c r="E17" s="16">
        <v>0.045804561036</v>
      </c>
      <c r="F17" s="16">
        <v>0.08986455356949999</v>
      </c>
      <c r="G17" s="16">
        <v>0.020920883595</v>
      </c>
      <c r="H17" s="16">
        <v>0.074694884305</v>
      </c>
      <c r="I17" s="16">
        <v>0.039763650845</v>
      </c>
      <c r="J17" s="16">
        <v>0.046399424965</v>
      </c>
      <c r="K17" s="16">
        <v>0.09932528263</v>
      </c>
      <c r="L17" s="16">
        <v>0.005571700115934983</v>
      </c>
      <c r="M17" s="16">
        <v>0.003987936374761926</v>
      </c>
      <c r="N17" s="16">
        <v>0.006648536845643791</v>
      </c>
      <c r="O17" s="16">
        <v>0.004330166505774782</v>
      </c>
      <c r="P17" s="16">
        <v>0.02823518931973362</v>
      </c>
      <c r="Q17" s="15">
        <v>0.0708892057685</v>
      </c>
      <c r="R17" s="15">
        <v>0.077805553321</v>
      </c>
      <c r="S17" s="15">
        <v>0.0483500350775</v>
      </c>
      <c r="T17" s="15">
        <v>0.05445393960099999</v>
      </c>
      <c r="U17" s="15">
        <v>0.1130274238735</v>
      </c>
      <c r="V17" s="15">
        <v>0.068804064495</v>
      </c>
      <c r="W17" s="15">
        <v>0.07729438373</v>
      </c>
      <c r="X17" s="15">
        <v>0.048973613835</v>
      </c>
      <c r="Y17" s="15">
        <v>0.055008333205</v>
      </c>
      <c r="Z17" s="15">
        <v>0.105779217035</v>
      </c>
      <c r="AA17" s="15">
        <v>0.004925705323134305</v>
      </c>
      <c r="AB17" s="16">
        <v>0.004695351095405018</v>
      </c>
      <c r="AC17" s="16">
        <v>0.00773950396073956</v>
      </c>
      <c r="AD17" s="16">
        <v>0.003418925192582822</v>
      </c>
      <c r="AE17" s="16">
        <v>0.03988497146744251</v>
      </c>
      <c r="AG17" s="16">
        <v>0.7320053711</v>
      </c>
      <c r="AH17" s="16">
        <v>0.7542884558</v>
      </c>
      <c r="AI17" s="16">
        <v>0.07878924792</v>
      </c>
      <c r="AJ17" s="16">
        <v>0.6998872951</v>
      </c>
      <c r="AK17" s="16">
        <v>0.6633645524</v>
      </c>
      <c r="AL17" s="16">
        <v>0.05001414782</v>
      </c>
    </row>
    <row r="18">
      <c r="A18" s="14" t="s">
        <v>30</v>
      </c>
      <c r="B18" s="15">
        <v>0.0202773996535</v>
      </c>
      <c r="C18" s="16">
        <v>0.109323503711</v>
      </c>
      <c r="D18" s="16">
        <v>0.06173327904800001</v>
      </c>
      <c r="E18" s="16">
        <v>0.06764542174</v>
      </c>
      <c r="F18" s="16">
        <v>0.124020574139</v>
      </c>
      <c r="G18" s="16">
        <v>0.018697218085</v>
      </c>
      <c r="H18" s="16">
        <v>0.10897884855</v>
      </c>
      <c r="I18" s="16">
        <v>0.061689895535</v>
      </c>
      <c r="J18" s="16">
        <v>0.06834355046</v>
      </c>
      <c r="K18" s="16">
        <v>0.1102452381</v>
      </c>
      <c r="L18" s="16">
        <v>0.005304443032148558</v>
      </c>
      <c r="M18" s="16">
        <v>0.009097534815968542</v>
      </c>
      <c r="N18" s="16">
        <v>0.01538334134708943</v>
      </c>
      <c r="O18" s="16">
        <v>0.004697058526270239</v>
      </c>
      <c r="P18" s="16">
        <v>0.03889272869340731</v>
      </c>
      <c r="Q18" s="15">
        <v>0.01196199152315</v>
      </c>
      <c r="R18" s="15">
        <v>0.0859251155355</v>
      </c>
      <c r="S18" s="15">
        <v>0.0396272245295</v>
      </c>
      <c r="T18" s="15">
        <v>0.0532821428365</v>
      </c>
      <c r="U18" s="15">
        <v>0.1220058120465</v>
      </c>
      <c r="V18" s="15">
        <v>0.0079018041135</v>
      </c>
      <c r="W18" s="15">
        <v>0.08719966757</v>
      </c>
      <c r="X18" s="15">
        <v>0.03947925061</v>
      </c>
      <c r="Y18" s="15">
        <v>0.05229968092499999</v>
      </c>
      <c r="Z18" s="15">
        <v>0.1187347253</v>
      </c>
      <c r="AA18" s="15">
        <v>0.007607169997094185</v>
      </c>
      <c r="AB18" s="16">
        <v>0.006362406987642737</v>
      </c>
      <c r="AC18" s="16">
        <v>0.01581851675393304</v>
      </c>
      <c r="AD18" s="16">
        <v>0.006413418453628068</v>
      </c>
      <c r="AE18" s="16">
        <v>0.0284508323984771</v>
      </c>
      <c r="AG18" s="16">
        <v>0.6119483738</v>
      </c>
      <c r="AH18" s="16">
        <v>0.5720539469</v>
      </c>
      <c r="AI18" s="16">
        <v>0.03635293308</v>
      </c>
      <c r="AJ18" s="16">
        <v>0.6853382691</v>
      </c>
      <c r="AK18" s="16">
        <v>0.6853382691</v>
      </c>
      <c r="AL18" s="16">
        <v>0.05735138085</v>
      </c>
    </row>
    <row r="19">
      <c r="A19" s="14" t="s">
        <v>31</v>
      </c>
      <c r="B19" s="15">
        <v>0.076665709924</v>
      </c>
      <c r="C19" s="16">
        <v>0.097651787419</v>
      </c>
      <c r="D19" s="16">
        <v>0.0469678063655</v>
      </c>
      <c r="E19" s="16">
        <v>0.0599723905835</v>
      </c>
      <c r="F19" s="16">
        <v>0.1398347878905</v>
      </c>
      <c r="G19" s="16">
        <v>0.074209512745</v>
      </c>
      <c r="H19" s="16">
        <v>0.098762561</v>
      </c>
      <c r="I19" s="16">
        <v>0.044748149845</v>
      </c>
      <c r="J19" s="16">
        <v>0.05944848471</v>
      </c>
      <c r="K19" s="16">
        <v>0.13644685565</v>
      </c>
      <c r="L19" s="16">
        <v>0.00916273450289396</v>
      </c>
      <c r="M19" s="16">
        <v>0.005098611443663682</v>
      </c>
      <c r="N19" s="16">
        <v>0.0134811452311441</v>
      </c>
      <c r="O19" s="16">
        <v>0.007456142344717061</v>
      </c>
      <c r="P19" s="16">
        <v>0.0280031068671253</v>
      </c>
      <c r="Q19" s="15">
        <v>0.075790621456</v>
      </c>
      <c r="R19" s="15">
        <v>0.09204007373749998</v>
      </c>
      <c r="S19" s="15">
        <v>0.0461315720785</v>
      </c>
      <c r="T19" s="15">
        <v>0.05676628231149999</v>
      </c>
      <c r="U19" s="15">
        <v>0.1341766519585</v>
      </c>
      <c r="V19" s="15">
        <v>0.075320708795</v>
      </c>
      <c r="W19" s="15">
        <v>0.09384250411</v>
      </c>
      <c r="X19" s="15">
        <v>0.04730250364999999</v>
      </c>
      <c r="Y19" s="15">
        <v>0.05650944623</v>
      </c>
      <c r="Z19" s="15">
        <v>0.1355560991</v>
      </c>
      <c r="AA19" s="15">
        <v>0.007513552107922318</v>
      </c>
      <c r="AB19" s="16">
        <v>0.004179522060764863</v>
      </c>
      <c r="AC19" s="16">
        <v>0.01166109603503158</v>
      </c>
      <c r="AD19" s="16">
        <v>0.005326703828020407</v>
      </c>
      <c r="AE19" s="16">
        <v>0.02987611766091623</v>
      </c>
      <c r="AG19" s="16">
        <v>0.74955057</v>
      </c>
      <c r="AH19" s="16">
        <v>0.74955057</v>
      </c>
      <c r="AI19" s="16">
        <v>0.1537312948</v>
      </c>
      <c r="AJ19" s="16">
        <v>0.7562474285</v>
      </c>
      <c r="AK19" s="16">
        <v>0.7298582362</v>
      </c>
      <c r="AL19" s="16">
        <v>0.1374041843</v>
      </c>
    </row>
    <row r="20">
      <c r="A20" s="14" t="s">
        <v>32</v>
      </c>
      <c r="B20" s="15">
        <v>0.05547798438400001</v>
      </c>
      <c r="C20" s="16">
        <v>0.06311595379700001</v>
      </c>
      <c r="D20" s="16">
        <v>0.03379982595749999</v>
      </c>
      <c r="E20" s="16">
        <v>0.038750895062</v>
      </c>
      <c r="F20" s="16">
        <v>0.1069140691025</v>
      </c>
      <c r="G20" s="16">
        <v>0.055240795705</v>
      </c>
      <c r="H20" s="16">
        <v>0.06339783908999999</v>
      </c>
      <c r="I20" s="16">
        <v>0.03340409832</v>
      </c>
      <c r="J20" s="16">
        <v>0.039409473895</v>
      </c>
      <c r="K20" s="16">
        <v>0.1075853996</v>
      </c>
      <c r="L20" s="16">
        <v>0.00356291176406508</v>
      </c>
      <c r="M20" s="16">
        <v>0.005458529799463145</v>
      </c>
      <c r="N20" s="16">
        <v>0.005884624839897596</v>
      </c>
      <c r="O20" s="16">
        <v>0.00315398597237254</v>
      </c>
      <c r="P20" s="16">
        <v>0.03182383720297004</v>
      </c>
      <c r="Q20" s="15">
        <v>0.05642452169100001</v>
      </c>
      <c r="R20" s="15">
        <v>0.09714884745400001</v>
      </c>
      <c r="S20" s="15">
        <v>0.04557905370050001</v>
      </c>
      <c r="T20" s="15">
        <v>0.05974596377899999</v>
      </c>
      <c r="U20" s="15">
        <v>0.102572873788</v>
      </c>
      <c r="V20" s="15">
        <v>0.056920211295</v>
      </c>
      <c r="W20" s="15">
        <v>0.098370881155</v>
      </c>
      <c r="X20" s="15">
        <v>0.04373432518</v>
      </c>
      <c r="Y20" s="15">
        <v>0.059737877765</v>
      </c>
      <c r="Z20" s="15">
        <v>0.1076283296</v>
      </c>
      <c r="AA20" s="15">
        <v>0.009423925782063854</v>
      </c>
      <c r="AB20" s="16">
        <v>0.0079962769224333</v>
      </c>
      <c r="AC20" s="16">
        <v>0.01340876992541701</v>
      </c>
      <c r="AD20" s="16">
        <v>0.005085429974406615</v>
      </c>
      <c r="AE20" s="16">
        <v>0.03556769420072954</v>
      </c>
      <c r="AG20" s="16">
        <v>0.7726656854</v>
      </c>
      <c r="AH20" s="16">
        <v>0.7726656854</v>
      </c>
      <c r="AI20" s="16">
        <v>0.09466618244</v>
      </c>
      <c r="AJ20" s="16">
        <v>0.7180097201</v>
      </c>
      <c r="AK20" s="16">
        <v>0.7138829576</v>
      </c>
      <c r="AL20" s="16">
        <v>0.09799808726</v>
      </c>
    </row>
    <row r="21">
      <c r="A21" s="14" t="s">
        <v>33</v>
      </c>
      <c r="B21" s="15">
        <v>0.05240824927299999</v>
      </c>
      <c r="C21" s="16">
        <v>0.095814949069</v>
      </c>
      <c r="D21" s="16">
        <v>0.04666455687899999</v>
      </c>
      <c r="E21" s="16">
        <v>0.059870892391</v>
      </c>
      <c r="F21" s="16">
        <v>0.1242405946705</v>
      </c>
      <c r="G21" s="16">
        <v>0.051915932275</v>
      </c>
      <c r="H21" s="16">
        <v>0.09631948875499999</v>
      </c>
      <c r="I21" s="16">
        <v>0.045977476975</v>
      </c>
      <c r="J21" s="16">
        <v>0.059395852595</v>
      </c>
      <c r="K21" s="16">
        <v>0.1237647302</v>
      </c>
      <c r="L21" s="16">
        <v>0.004590629225552256</v>
      </c>
      <c r="M21" s="16">
        <v>0.005662297757884361</v>
      </c>
      <c r="N21" s="16">
        <v>0.01132969165896246</v>
      </c>
      <c r="O21" s="16">
        <v>0.003101456050248839</v>
      </c>
      <c r="P21" s="16">
        <v>0.03501298033635699</v>
      </c>
      <c r="Q21" s="15">
        <v>0.043718440915</v>
      </c>
      <c r="R21" s="15">
        <v>0.1137160013895</v>
      </c>
      <c r="S21" s="15">
        <v>0.04307825044669999</v>
      </c>
      <c r="T21" s="15">
        <v>0.06233140839699999</v>
      </c>
      <c r="U21" s="15">
        <v>0.111654064435</v>
      </c>
      <c r="V21" s="15">
        <v>0.04175454291</v>
      </c>
      <c r="W21" s="15">
        <v>0.1131252878</v>
      </c>
      <c r="X21" s="15">
        <v>0.041765472215</v>
      </c>
      <c r="Y21" s="15">
        <v>0.06218963766500001</v>
      </c>
      <c r="Z21" s="15">
        <v>0.11846301325</v>
      </c>
      <c r="AA21" s="15">
        <v>0.007836899423632308</v>
      </c>
      <c r="AB21" s="16">
        <v>0.01000036127151013</v>
      </c>
      <c r="AC21" s="16">
        <v>0.01425579554442608</v>
      </c>
      <c r="AD21" s="16">
        <v>0.007027082213870899</v>
      </c>
      <c r="AE21" s="16">
        <v>0.0308247412231784</v>
      </c>
      <c r="AG21" s="16">
        <v>0.6619839397</v>
      </c>
      <c r="AH21" s="16">
        <v>0.6434847505</v>
      </c>
      <c r="AI21" s="16">
        <v>0.09536581246</v>
      </c>
      <c r="AJ21" s="16">
        <v>0.7630770562</v>
      </c>
      <c r="AK21" s="16">
        <v>0.7630770562</v>
      </c>
      <c r="AL21" s="16">
        <v>0.1274072566</v>
      </c>
    </row>
    <row r="22">
      <c r="A22" s="14" t="s">
        <v>34</v>
      </c>
      <c r="B22" s="15">
        <v>0.137495349838</v>
      </c>
      <c r="C22" s="16">
        <v>0.207364466715</v>
      </c>
      <c r="D22" s="16">
        <v>0.123694604884</v>
      </c>
      <c r="E22" s="16">
        <v>0.154758437585</v>
      </c>
      <c r="F22" s="16">
        <v>0.222028289685</v>
      </c>
      <c r="G22" s="16">
        <v>0.1400336541</v>
      </c>
      <c r="H22" s="16">
        <v>0.207156629</v>
      </c>
      <c r="I22" s="16">
        <v>0.12382177415</v>
      </c>
      <c r="J22" s="16">
        <v>0.15437078355</v>
      </c>
      <c r="K22" s="16">
        <v>0.2230977948</v>
      </c>
      <c r="L22" s="16">
        <v>0.02147995080667541</v>
      </c>
      <c r="M22" s="16">
        <v>0.00520536015661457</v>
      </c>
      <c r="N22" s="16">
        <v>0.0114638490460405</v>
      </c>
      <c r="O22" s="16">
        <v>0.005953843588148518</v>
      </c>
      <c r="P22" s="16">
        <v>0.03187610903552963</v>
      </c>
      <c r="Q22" s="15">
        <v>0.132896053539</v>
      </c>
      <c r="R22" s="15">
        <v>0.206410564335</v>
      </c>
      <c r="S22" s="15">
        <v>0.122539961641</v>
      </c>
      <c r="T22" s="15">
        <v>0.153537192115</v>
      </c>
      <c r="U22" s="15">
        <v>0.20240393597</v>
      </c>
      <c r="V22" s="15">
        <v>0.13622132345</v>
      </c>
      <c r="W22" s="15">
        <v>0.20688895715</v>
      </c>
      <c r="X22" s="15">
        <v>0.1199558037</v>
      </c>
      <c r="Y22" s="15">
        <v>0.15357105635</v>
      </c>
      <c r="Z22" s="15">
        <v>0.2104603287</v>
      </c>
      <c r="AA22" s="15">
        <v>0.02198671527132809</v>
      </c>
      <c r="AB22" s="16">
        <v>0.003823273547969017</v>
      </c>
      <c r="AC22" s="16">
        <v>0.01509028079776764</v>
      </c>
      <c r="AD22" s="16">
        <v>0.005502110933645603</v>
      </c>
      <c r="AE22" s="16">
        <v>0.02629966132706785</v>
      </c>
      <c r="AG22" s="16">
        <v>0.608779828</v>
      </c>
      <c r="AH22" s="16">
        <v>0.5406035788</v>
      </c>
      <c r="AI22" s="16">
        <v>0.03883877482</v>
      </c>
      <c r="AJ22" s="16">
        <v>0.6977580924</v>
      </c>
      <c r="AK22" s="16">
        <v>0.6105696568</v>
      </c>
      <c r="AL22" s="16">
        <v>0.03676983467</v>
      </c>
    </row>
    <row r="23">
      <c r="A23" s="14" t="s">
        <v>35</v>
      </c>
      <c r="B23" s="15">
        <v>0.12799344771</v>
      </c>
      <c r="C23" s="16">
        <v>0.198664343125</v>
      </c>
      <c r="D23" s="16">
        <v>0.1154348434335</v>
      </c>
      <c r="E23" s="16">
        <v>0.145889724985</v>
      </c>
      <c r="F23" s="16">
        <v>0.20939702238</v>
      </c>
      <c r="G23" s="16">
        <v>0.1275302604</v>
      </c>
      <c r="H23" s="16">
        <v>0.1978519847</v>
      </c>
      <c r="I23" s="16">
        <v>0.11604921605</v>
      </c>
      <c r="J23" s="16">
        <v>0.14637030875</v>
      </c>
      <c r="K23" s="16">
        <v>0.2017698863</v>
      </c>
      <c r="L23" s="16">
        <v>0.02284910033769181</v>
      </c>
      <c r="M23" s="16">
        <v>0.004694475152152654</v>
      </c>
      <c r="N23" s="16">
        <v>0.0128435292840343</v>
      </c>
      <c r="O23" s="16">
        <v>0.005943482915081029</v>
      </c>
      <c r="P23" s="16">
        <v>0.04045578351526379</v>
      </c>
      <c r="Q23" s="15">
        <v>0.14008516487</v>
      </c>
      <c r="R23" s="15">
        <v>0.209431996365</v>
      </c>
      <c r="S23" s="15">
        <v>0.12837638226</v>
      </c>
      <c r="T23" s="15">
        <v>0.15499794445</v>
      </c>
      <c r="U23" s="15">
        <v>0.20064732093</v>
      </c>
      <c r="V23" s="15">
        <v>0.1416674173</v>
      </c>
      <c r="W23" s="15">
        <v>0.2090055065</v>
      </c>
      <c r="X23" s="15">
        <v>0.12811147705</v>
      </c>
      <c r="Y23" s="15">
        <v>0.15583532885</v>
      </c>
      <c r="Z23" s="15">
        <v>0.2026542325</v>
      </c>
      <c r="AA23" s="15">
        <v>0.01462065565774591</v>
      </c>
      <c r="AB23" s="16">
        <v>0.008857524034633158</v>
      </c>
      <c r="AC23" s="16">
        <v>0.01099636390833179</v>
      </c>
      <c r="AD23" s="16">
        <v>0.004694923988162301</v>
      </c>
      <c r="AE23" s="16">
        <v>0.03010674330177057</v>
      </c>
      <c r="AG23" s="16">
        <v>0.6832535366</v>
      </c>
      <c r="AH23" s="16">
        <v>0.612371161</v>
      </c>
      <c r="AI23" s="16">
        <v>0.0266462162</v>
      </c>
      <c r="AJ23" s="16">
        <v>0.6398977206</v>
      </c>
      <c r="AK23" s="16">
        <v>0.6161309583</v>
      </c>
      <c r="AL23" s="16">
        <v>0.0527084888</v>
      </c>
    </row>
    <row r="24">
      <c r="A24" s="14" t="s">
        <v>36</v>
      </c>
      <c r="B24" s="15">
        <v>0.102704547816</v>
      </c>
      <c r="C24" s="16">
        <v>0.21628840165</v>
      </c>
      <c r="D24" s="16">
        <v>0.122166020305</v>
      </c>
      <c r="E24" s="16">
        <v>0.161468978175</v>
      </c>
      <c r="F24" s="16">
        <v>0.207212666545</v>
      </c>
      <c r="G24" s="16">
        <v>0.09921103536</v>
      </c>
      <c r="H24" s="16">
        <v>0.21559331185</v>
      </c>
      <c r="I24" s="16">
        <v>0.1234349758</v>
      </c>
      <c r="J24" s="16">
        <v>0.16371337715</v>
      </c>
      <c r="K24" s="16">
        <v>0.20884936255</v>
      </c>
      <c r="L24" s="16">
        <v>0.01957943468820733</v>
      </c>
      <c r="M24" s="16">
        <v>0.005579543863742428</v>
      </c>
      <c r="N24" s="16">
        <v>0.01821152086513635</v>
      </c>
      <c r="O24" s="16">
        <v>0.006516739315390118</v>
      </c>
      <c r="P24" s="16">
        <v>0.03033245188191732</v>
      </c>
      <c r="Q24" s="15">
        <v>0.1182054272125</v>
      </c>
      <c r="R24" s="15">
        <v>0.1950100514</v>
      </c>
      <c r="S24" s="15">
        <v>0.112534977041</v>
      </c>
      <c r="T24" s="15">
        <v>0.146442691575</v>
      </c>
      <c r="U24" s="15">
        <v>0.212865043985</v>
      </c>
      <c r="V24" s="15">
        <v>0.120092118</v>
      </c>
      <c r="W24" s="15">
        <v>0.19536452915</v>
      </c>
      <c r="X24" s="15">
        <v>0.1138974091</v>
      </c>
      <c r="Y24" s="15">
        <v>0.14670247175</v>
      </c>
      <c r="Z24" s="15">
        <v>0.20329795375</v>
      </c>
      <c r="AA24" s="15">
        <v>0.01593004502494961</v>
      </c>
      <c r="AB24" s="16">
        <v>0.005525560545536663</v>
      </c>
      <c r="AC24" s="16">
        <v>0.01236904700239888</v>
      </c>
      <c r="AD24" s="16">
        <v>0.004841449539430712</v>
      </c>
      <c r="AE24" s="16">
        <v>0.03609653685384547</v>
      </c>
      <c r="AG24" s="16">
        <v>0.6296489646</v>
      </c>
      <c r="AH24" s="16">
        <v>0.5797225494</v>
      </c>
      <c r="AI24" s="16">
        <v>0.02607032328</v>
      </c>
      <c r="AJ24" s="16">
        <v>0.5992953863</v>
      </c>
      <c r="AK24" s="16">
        <v>0.6476031137</v>
      </c>
      <c r="AL24" s="16">
        <v>0.0248488066</v>
      </c>
    </row>
    <row r="25">
      <c r="A25" s="14" t="s">
        <v>37</v>
      </c>
      <c r="B25" s="15">
        <v>0.15791710016</v>
      </c>
      <c r="C25" s="16">
        <v>0.204585926695</v>
      </c>
      <c r="D25" s="16">
        <v>0.122934107804</v>
      </c>
      <c r="E25" s="16">
        <v>0.153664294295</v>
      </c>
      <c r="F25" s="16">
        <v>0.206974182475</v>
      </c>
      <c r="G25" s="16">
        <v>0.15975979225</v>
      </c>
      <c r="H25" s="16">
        <v>0.206412634</v>
      </c>
      <c r="I25" s="16">
        <v>0.12313264325</v>
      </c>
      <c r="J25" s="16">
        <v>0.15458411945</v>
      </c>
      <c r="K25" s="16">
        <v>0.1998032554</v>
      </c>
      <c r="L25" s="16">
        <v>0.01381292159448593</v>
      </c>
      <c r="M25" s="16">
        <v>0.008324637138351527</v>
      </c>
      <c r="N25" s="16">
        <v>0.01722176765181298</v>
      </c>
      <c r="O25" s="16">
        <v>0.007564985725778095</v>
      </c>
      <c r="P25" s="16">
        <v>0.04139216417299066</v>
      </c>
      <c r="Q25" s="15">
        <v>0.1386245809595</v>
      </c>
      <c r="R25" s="15">
        <v>0.197667597695</v>
      </c>
      <c r="S25" s="15">
        <v>0.124129555985</v>
      </c>
      <c r="T25" s="15">
        <v>0.15225739777</v>
      </c>
      <c r="U25" s="15">
        <v>0.220892054075</v>
      </c>
      <c r="V25" s="15">
        <v>0.13933349685</v>
      </c>
      <c r="W25" s="15">
        <v>0.19599169565</v>
      </c>
      <c r="X25" s="15">
        <v>0.1268899433</v>
      </c>
      <c r="Y25" s="15">
        <v>0.1536665378</v>
      </c>
      <c r="Z25" s="15">
        <v>0.2188290534</v>
      </c>
      <c r="AA25" s="15">
        <v>0.01816718840403436</v>
      </c>
      <c r="AB25" s="16">
        <v>0.006364990951708934</v>
      </c>
      <c r="AC25" s="16">
        <v>0.01167899260000609</v>
      </c>
      <c r="AD25" s="16">
        <v>0.006463887713716522</v>
      </c>
      <c r="AE25" s="16">
        <v>0.03633155111319298</v>
      </c>
      <c r="AG25" s="16">
        <v>0.6568904301</v>
      </c>
      <c r="AH25" s="16">
        <v>0.6402345639</v>
      </c>
      <c r="AI25" s="16">
        <v>0.0367388507</v>
      </c>
      <c r="AJ25" s="16">
        <v>0.6182282452</v>
      </c>
      <c r="AK25" s="16">
        <v>0.5704342811</v>
      </c>
      <c r="AL25" s="16">
        <v>0.04967074467</v>
      </c>
    </row>
    <row r="26">
      <c r="A26" s="14" t="s">
        <v>38</v>
      </c>
      <c r="B26" s="15">
        <v>0.1639390375</v>
      </c>
      <c r="C26" s="16">
        <v>0.225151259175</v>
      </c>
      <c r="D26" s="16">
        <v>0.130653248075</v>
      </c>
      <c r="E26" s="16">
        <v>0.166823335295</v>
      </c>
      <c r="F26" s="16">
        <v>0.244583016065</v>
      </c>
      <c r="G26" s="16">
        <v>0.1641113526</v>
      </c>
      <c r="H26" s="16">
        <v>0.22567790705</v>
      </c>
      <c r="I26" s="16">
        <v>0.13340999055</v>
      </c>
      <c r="J26" s="16">
        <v>0.16851970015</v>
      </c>
      <c r="K26" s="16">
        <v>0.24329941965</v>
      </c>
      <c r="L26" s="16">
        <v>0.01165574305253002</v>
      </c>
      <c r="M26" s="16">
        <v>0.00350940083334343</v>
      </c>
      <c r="N26" s="16">
        <v>0.01485270117951742</v>
      </c>
      <c r="O26" s="16">
        <v>0.006729024995629457</v>
      </c>
      <c r="P26" s="16">
        <v>0.03496681571576368</v>
      </c>
      <c r="Q26" s="15">
        <v>0.090375242622</v>
      </c>
      <c r="R26" s="15">
        <v>0.20432581688</v>
      </c>
      <c r="S26" s="15">
        <v>0.116057115477</v>
      </c>
      <c r="T26" s="15">
        <v>0.151346400785</v>
      </c>
      <c r="U26" s="15">
        <v>0.222688959515</v>
      </c>
      <c r="V26" s="15">
        <v>0.08869597013</v>
      </c>
      <c r="W26" s="15">
        <v>0.20466709995</v>
      </c>
      <c r="X26" s="15">
        <v>0.11712395045</v>
      </c>
      <c r="Y26" s="15">
        <v>0.1525786158</v>
      </c>
      <c r="Z26" s="15">
        <v>0.22186094285</v>
      </c>
      <c r="AA26" s="15">
        <v>0.01622972332752867</v>
      </c>
      <c r="AB26" s="16">
        <v>0.006753406648568384</v>
      </c>
      <c r="AC26" s="16">
        <v>0.01359032416131871</v>
      </c>
      <c r="AD26" s="16">
        <v>0.007060072456045353</v>
      </c>
      <c r="AE26" s="16">
        <v>0.03348833534938639</v>
      </c>
      <c r="AG26" s="16">
        <v>0.5993868051</v>
      </c>
      <c r="AH26" s="16">
        <v>0.6302925871</v>
      </c>
      <c r="AI26" s="16">
        <v>0.02089102086</v>
      </c>
      <c r="AJ26" s="16">
        <v>0.7235721711</v>
      </c>
      <c r="AK26" s="16">
        <v>0.7141569666</v>
      </c>
      <c r="AL26" s="16">
        <v>0.05141956421</v>
      </c>
    </row>
    <row r="27">
      <c r="A27" s="14" t="s">
        <v>39</v>
      </c>
      <c r="B27" s="15">
        <v>0.152056573305</v>
      </c>
      <c r="C27" s="16">
        <v>0.21661371599</v>
      </c>
      <c r="D27" s="16">
        <v>0.139250918165</v>
      </c>
      <c r="E27" s="16">
        <v>0.16691812051</v>
      </c>
      <c r="F27" s="16">
        <v>0.22158119541</v>
      </c>
      <c r="G27" s="16">
        <v>0.158485925</v>
      </c>
      <c r="H27" s="16">
        <v>0.2157538847</v>
      </c>
      <c r="I27" s="16">
        <v>0.13409884245</v>
      </c>
      <c r="J27" s="16">
        <v>0.16728648955</v>
      </c>
      <c r="K27" s="16">
        <v>0.22355984865</v>
      </c>
      <c r="L27" s="16">
        <v>0.02247469878680311</v>
      </c>
      <c r="M27" s="16">
        <v>0.0081479993070331</v>
      </c>
      <c r="N27" s="16">
        <v>0.01463673238393006</v>
      </c>
      <c r="O27" s="16">
        <v>0.006893801915218848</v>
      </c>
      <c r="P27" s="16">
        <v>0.0527905586195865</v>
      </c>
      <c r="Q27" s="15">
        <v>0.130928437185</v>
      </c>
      <c r="R27" s="15">
        <v>0.204986089545</v>
      </c>
      <c r="S27" s="15">
        <v>0.1227897658565</v>
      </c>
      <c r="T27" s="15">
        <v>0.153325126355</v>
      </c>
      <c r="U27" s="15">
        <v>0.218707423335</v>
      </c>
      <c r="V27" s="15">
        <v>0.13220434465</v>
      </c>
      <c r="W27" s="15">
        <v>0.2043125881</v>
      </c>
      <c r="X27" s="15">
        <v>0.1244537519</v>
      </c>
      <c r="Y27" s="15">
        <v>0.1527485913</v>
      </c>
      <c r="Z27" s="15">
        <v>0.21791866125</v>
      </c>
      <c r="AA27" s="15">
        <v>0.01383225079227974</v>
      </c>
      <c r="AB27" s="16">
        <v>0.005612967946512314</v>
      </c>
      <c r="AC27" s="16">
        <v>0.01133434269741032</v>
      </c>
      <c r="AD27" s="16">
        <v>0.006049951742016771</v>
      </c>
      <c r="AE27" s="16">
        <v>0.04029608545378742</v>
      </c>
      <c r="AG27" s="16">
        <v>0.7222069744</v>
      </c>
      <c r="AH27" s="16">
        <v>0.6769564882</v>
      </c>
      <c r="AI27" s="16">
        <v>0.04428591523</v>
      </c>
      <c r="AJ27" s="16">
        <v>0.6391598607</v>
      </c>
      <c r="AK27" s="16">
        <v>0.5941802246</v>
      </c>
      <c r="AL27" s="16">
        <v>0.05183004039</v>
      </c>
    </row>
    <row r="28">
      <c r="A28" s="14" t="s">
        <v>40</v>
      </c>
      <c r="B28" s="15">
        <v>0.288711407255</v>
      </c>
      <c r="C28" s="16">
        <v>0.357772454995</v>
      </c>
      <c r="D28" s="16">
        <v>0.25821082672</v>
      </c>
      <c r="E28" s="16">
        <v>0.30816618552</v>
      </c>
      <c r="F28" s="16">
        <v>0.3165709100499999</v>
      </c>
      <c r="G28" s="16">
        <v>0.29124289495</v>
      </c>
      <c r="H28" s="16">
        <v>0.3587035673</v>
      </c>
      <c r="I28" s="16">
        <v>0.2598907379</v>
      </c>
      <c r="J28" s="16">
        <v>0.309657652</v>
      </c>
      <c r="K28" s="16">
        <v>0.31482119295</v>
      </c>
      <c r="L28" s="16">
        <v>0.01897455520909521</v>
      </c>
      <c r="M28" s="16">
        <v>0.002260818452629203</v>
      </c>
      <c r="N28" s="16">
        <v>0.008974288936466276</v>
      </c>
      <c r="O28" s="16">
        <v>0.006512155746917455</v>
      </c>
      <c r="P28" s="16">
        <v>0.03559084901621162</v>
      </c>
      <c r="Q28" s="16">
        <v>0.253948244545</v>
      </c>
      <c r="R28" s="16">
        <v>0.32520816284</v>
      </c>
      <c r="S28" s="16">
        <v>0.22760394612</v>
      </c>
      <c r="T28" s="16">
        <v>0.27235865527</v>
      </c>
      <c r="U28" s="16">
        <v>0.282216537605</v>
      </c>
      <c r="V28" s="16">
        <v>0.26310335645</v>
      </c>
      <c r="W28" s="16">
        <v>0.32553635335</v>
      </c>
      <c r="X28" s="16">
        <v>0.22786930855</v>
      </c>
      <c r="Y28" s="16">
        <v>0.27289076095</v>
      </c>
      <c r="Z28" s="16">
        <v>0.2831747724</v>
      </c>
      <c r="AA28" s="15">
        <v>0.02542313498716363</v>
      </c>
      <c r="AB28" s="16">
        <v>0.002983358388086015</v>
      </c>
      <c r="AC28" s="16">
        <v>0.008397353749779459</v>
      </c>
      <c r="AD28" s="16">
        <v>0.004843487278392062</v>
      </c>
      <c r="AE28" s="16">
        <v>0.0200207661538004</v>
      </c>
      <c r="AG28" s="16">
        <v>0.5327034113</v>
      </c>
      <c r="AH28" s="16">
        <v>0.4642890298</v>
      </c>
      <c r="AI28" s="16">
        <v>0.2246791545</v>
      </c>
      <c r="AJ28" s="16">
        <v>0.572801689</v>
      </c>
      <c r="AK28" s="16">
        <v>0.5004241229</v>
      </c>
      <c r="AL28" s="16">
        <v>0.003794641311</v>
      </c>
    </row>
    <row r="29">
      <c r="A29" s="14" t="s">
        <v>41</v>
      </c>
      <c r="B29" s="15">
        <v>0.289532559545</v>
      </c>
      <c r="C29" s="16">
        <v>0.338614171265</v>
      </c>
      <c r="D29" s="16">
        <v>0.2427945397</v>
      </c>
      <c r="E29" s="16">
        <v>0.28643295084</v>
      </c>
      <c r="F29" s="16">
        <v>0.29647914379</v>
      </c>
      <c r="G29" s="16">
        <v>0.29149668015</v>
      </c>
      <c r="H29" s="16">
        <v>0.33998459315</v>
      </c>
      <c r="I29" s="16">
        <v>0.2450453479</v>
      </c>
      <c r="J29" s="16">
        <v>0.2868596351</v>
      </c>
      <c r="K29" s="16">
        <v>0.29439658665</v>
      </c>
      <c r="L29" s="16">
        <v>0.009583530125277902</v>
      </c>
      <c r="M29" s="16">
        <v>0.00426364417013511</v>
      </c>
      <c r="N29" s="16">
        <v>0.01002756290936219</v>
      </c>
      <c r="O29" s="16">
        <v>0.00531455779556204</v>
      </c>
      <c r="P29" s="16">
        <v>0.02214129619054793</v>
      </c>
      <c r="Q29" s="16">
        <v>0.26452423499</v>
      </c>
      <c r="R29" s="16">
        <v>0.339835951065</v>
      </c>
      <c r="S29" s="16">
        <v>0.24246797384</v>
      </c>
      <c r="T29" s="16">
        <v>0.2866087336200001</v>
      </c>
      <c r="U29" s="16">
        <v>0.2924115508299999</v>
      </c>
      <c r="V29" s="16">
        <v>0.2634366565</v>
      </c>
      <c r="W29" s="16">
        <v>0.33995168015</v>
      </c>
      <c r="X29" s="16">
        <v>0.2421919702</v>
      </c>
      <c r="Y29" s="16">
        <v>0.2870004337</v>
      </c>
      <c r="Z29" s="16">
        <v>0.29414198725</v>
      </c>
      <c r="AA29" s="15">
        <v>0.02232677348060688</v>
      </c>
      <c r="AB29" s="16">
        <v>0.004294359783699278</v>
      </c>
      <c r="AC29" s="16">
        <v>0.007632378723762768</v>
      </c>
      <c r="AD29" s="16">
        <v>0.005600534231067477</v>
      </c>
      <c r="AE29" s="16">
        <v>0.02872195662491968</v>
      </c>
      <c r="AG29" s="16">
        <v>0.5830050452</v>
      </c>
      <c r="AH29" s="16">
        <v>0.5154770871</v>
      </c>
      <c r="AI29" s="16">
        <v>0.005939286683</v>
      </c>
      <c r="AJ29" s="16">
        <v>0.5752209324</v>
      </c>
      <c r="AK29" s="16">
        <v>0.521122555</v>
      </c>
      <c r="AL29" s="16">
        <v>0.01014637152</v>
      </c>
    </row>
    <row r="30">
      <c r="A30" s="14" t="s">
        <v>42</v>
      </c>
      <c r="B30" s="15">
        <v>0.263954507745</v>
      </c>
      <c r="C30" s="16">
        <v>0.34938607821</v>
      </c>
      <c r="D30" s="16">
        <v>0.25174665242</v>
      </c>
      <c r="E30" s="16">
        <v>0.29824394422</v>
      </c>
      <c r="F30" s="16">
        <v>0.29953866657</v>
      </c>
      <c r="G30" s="16">
        <v>0.2675518716</v>
      </c>
      <c r="H30" s="16">
        <v>0.34922193175</v>
      </c>
      <c r="I30" s="16">
        <v>0.2511440943</v>
      </c>
      <c r="J30" s="16">
        <v>0.2981736062</v>
      </c>
      <c r="K30" s="16">
        <v>0.29573363465</v>
      </c>
      <c r="L30" s="16">
        <v>0.0198633689429277</v>
      </c>
      <c r="M30" s="16">
        <v>0.00420082530905124</v>
      </c>
      <c r="N30" s="16">
        <v>0.01271018359433736</v>
      </c>
      <c r="O30" s="16">
        <v>0.005830544461459574</v>
      </c>
      <c r="P30" s="16">
        <v>0.02202235147036791</v>
      </c>
      <c r="Q30" s="16">
        <v>0.27130295831</v>
      </c>
      <c r="R30" s="16">
        <v>0.34809248376</v>
      </c>
      <c r="S30" s="16">
        <v>0.25231079698</v>
      </c>
      <c r="T30" s="16">
        <v>0.295825917905</v>
      </c>
      <c r="U30" s="16">
        <v>0.32260018309</v>
      </c>
      <c r="V30" s="16">
        <v>0.27537262405</v>
      </c>
      <c r="W30" s="16">
        <v>0.3475330167</v>
      </c>
      <c r="X30" s="16">
        <v>0.2513737988</v>
      </c>
      <c r="Y30" s="16">
        <v>0.2965320812</v>
      </c>
      <c r="Z30" s="16">
        <v>0.32329573085</v>
      </c>
      <c r="AA30" s="15">
        <v>0.01324401468734831</v>
      </c>
      <c r="AB30" s="16">
        <v>0.00284861794197537</v>
      </c>
      <c r="AC30" s="16">
        <v>0.01217337516926355</v>
      </c>
      <c r="AD30" s="16">
        <v>0.00600670350024511</v>
      </c>
      <c r="AE30" s="16">
        <v>0.02938067716015752</v>
      </c>
      <c r="AG30" s="16">
        <v>0.5513076786</v>
      </c>
      <c r="AH30" s="16">
        <v>0.5056008716</v>
      </c>
      <c r="AI30" s="16">
        <v>0.03995747302</v>
      </c>
      <c r="AJ30" s="16">
        <v>0.5767514756</v>
      </c>
      <c r="AK30" s="16">
        <v>0.5148676903</v>
      </c>
      <c r="AL30" s="16">
        <v>0.002388143293</v>
      </c>
    </row>
    <row r="31">
      <c r="A31" s="14" t="s">
        <v>43</v>
      </c>
      <c r="B31" s="15">
        <v>0.28682489247</v>
      </c>
      <c r="C31" s="16">
        <v>0.341573152655</v>
      </c>
      <c r="D31" s="16">
        <v>0.24919051491</v>
      </c>
      <c r="E31" s="16">
        <v>0.292350708145</v>
      </c>
      <c r="F31" s="16">
        <v>0.312210807015</v>
      </c>
      <c r="G31" s="16">
        <v>0.29100388405</v>
      </c>
      <c r="H31" s="16">
        <v>0.34273836135</v>
      </c>
      <c r="I31" s="16">
        <v>0.2485406962</v>
      </c>
      <c r="J31" s="16">
        <v>0.29173490175</v>
      </c>
      <c r="K31" s="16">
        <v>0.3050939117</v>
      </c>
      <c r="L31" s="16">
        <v>0.01235978213552364</v>
      </c>
      <c r="M31" s="16">
        <v>0.004440117471701492</v>
      </c>
      <c r="N31" s="16">
        <v>0.01296249263824689</v>
      </c>
      <c r="O31" s="16">
        <v>0.006211054628573137</v>
      </c>
      <c r="P31" s="16">
        <v>0.0271778241235336</v>
      </c>
      <c r="Q31" s="16">
        <v>0.17506224036</v>
      </c>
      <c r="R31" s="16">
        <v>0.24179162582</v>
      </c>
      <c r="S31" s="16">
        <v>0.14397526992</v>
      </c>
      <c r="T31" s="16">
        <v>0.193758735565</v>
      </c>
      <c r="U31" s="16">
        <v>0.21930841234</v>
      </c>
      <c r="V31" s="16">
        <v>0.1766005289</v>
      </c>
      <c r="W31" s="16">
        <v>0.24180543365</v>
      </c>
      <c r="X31" s="16">
        <v>0.1462819323</v>
      </c>
      <c r="Y31" s="16">
        <v>0.1950565807</v>
      </c>
      <c r="Z31" s="16">
        <v>0.2164220833</v>
      </c>
      <c r="AA31" s="15">
        <v>0.01676237377785575</v>
      </c>
      <c r="AB31" s="16">
        <v>0.00340728731978045</v>
      </c>
      <c r="AC31" s="16">
        <v>0.008575474350982116</v>
      </c>
      <c r="AD31" s="16">
        <v>0.006505051710284638</v>
      </c>
      <c r="AE31" s="16">
        <v>0.01736055624576536</v>
      </c>
      <c r="AG31" s="16">
        <v>0.5194920956</v>
      </c>
      <c r="AH31" s="16">
        <v>0.4628178235</v>
      </c>
      <c r="AI31" s="16">
        <v>0.5106663472</v>
      </c>
      <c r="AJ31" s="16">
        <v>0.5685224868</v>
      </c>
      <c r="AK31" s="16">
        <v>0.5522489986</v>
      </c>
      <c r="AL31" s="16">
        <v>0.00752667787</v>
      </c>
    </row>
    <row r="32">
      <c r="A32" s="14" t="s">
        <v>44</v>
      </c>
      <c r="B32" s="15">
        <v>0.2807912298</v>
      </c>
      <c r="C32" s="16">
        <v>0.334977235805</v>
      </c>
      <c r="D32" s="16">
        <v>0.240898874865</v>
      </c>
      <c r="E32" s="16">
        <v>0.28702252416</v>
      </c>
      <c r="F32" s="16">
        <v>0.312223469205</v>
      </c>
      <c r="G32" s="16">
        <v>0.28640920695</v>
      </c>
      <c r="H32" s="16">
        <v>0.3358222937</v>
      </c>
      <c r="I32" s="16">
        <v>0.2467454556</v>
      </c>
      <c r="J32" s="16">
        <v>0.2866232252499999</v>
      </c>
      <c r="K32" s="16">
        <v>0.3095423882</v>
      </c>
      <c r="L32" s="16">
        <v>0.0189841577271637</v>
      </c>
      <c r="M32" s="16">
        <v>0.004599871537656365</v>
      </c>
      <c r="N32" s="16">
        <v>0.01754384102294835</v>
      </c>
      <c r="O32" s="16">
        <v>0.006756813397580688</v>
      </c>
      <c r="P32" s="16">
        <v>0.02497162076985541</v>
      </c>
      <c r="Q32" s="16">
        <v>0.2510813082</v>
      </c>
      <c r="R32" s="16">
        <v>0.334529215375</v>
      </c>
      <c r="S32" s="16">
        <v>0.23762950394</v>
      </c>
      <c r="T32" s="16">
        <v>0.28612310099</v>
      </c>
      <c r="U32" s="16">
        <v>0.29897057608</v>
      </c>
      <c r="V32" s="16">
        <v>0.252195538</v>
      </c>
      <c r="W32" s="16">
        <v>0.33510936865</v>
      </c>
      <c r="X32" s="16">
        <v>0.24079183785</v>
      </c>
      <c r="Y32" s="16">
        <v>0.28506221845</v>
      </c>
      <c r="Z32" s="16">
        <v>0.29609281615</v>
      </c>
      <c r="AA32" s="15">
        <v>0.01662548530453605</v>
      </c>
      <c r="AB32" s="16">
        <v>0.003605134811439741</v>
      </c>
      <c r="AC32" s="16">
        <v>0.01374656897091199</v>
      </c>
      <c r="AD32" s="16">
        <v>0.004992496972270625</v>
      </c>
      <c r="AE32" s="16">
        <v>0.02092841669483279</v>
      </c>
      <c r="AG32" s="16">
        <v>0.5446329023</v>
      </c>
      <c r="AH32" s="16">
        <v>0.5330469889</v>
      </c>
      <c r="AI32" s="16">
        <v>0.1571517108</v>
      </c>
      <c r="AJ32" s="16">
        <v>0.5637032821</v>
      </c>
      <c r="AK32" s="16">
        <v>0.6072114551</v>
      </c>
      <c r="AL32" s="16">
        <v>0.005433574716</v>
      </c>
    </row>
    <row r="33">
      <c r="A33" s="14" t="s">
        <v>45</v>
      </c>
      <c r="B33" s="15">
        <v>0.28167468477</v>
      </c>
      <c r="C33" s="16">
        <v>0.342221349385</v>
      </c>
      <c r="D33" s="16">
        <v>0.250899628665</v>
      </c>
      <c r="E33" s="16">
        <v>0.2923127919</v>
      </c>
      <c r="F33" s="16">
        <v>0.3016654537</v>
      </c>
      <c r="G33" s="16">
        <v>0.2817362945</v>
      </c>
      <c r="H33" s="16">
        <v>0.3419490938</v>
      </c>
      <c r="I33" s="16">
        <v>0.2502869452</v>
      </c>
      <c r="J33" s="16">
        <v>0.2945718914</v>
      </c>
      <c r="K33" s="16">
        <v>0.30301792015</v>
      </c>
      <c r="L33" s="16">
        <v>0.01307834780151884</v>
      </c>
      <c r="M33" s="16">
        <v>0.003969394611935895</v>
      </c>
      <c r="N33" s="16">
        <v>0.01193283952831144</v>
      </c>
      <c r="O33" s="16">
        <v>0.00790637338261474</v>
      </c>
      <c r="P33" s="16">
        <v>0.02079583243827832</v>
      </c>
      <c r="Q33" s="16">
        <v>0.28723583806</v>
      </c>
      <c r="R33" s="16">
        <v>0.3404591298099999</v>
      </c>
      <c r="S33" s="16">
        <v>0.246855922335</v>
      </c>
      <c r="T33" s="16">
        <v>0.289651648625</v>
      </c>
      <c r="U33" s="16">
        <v>0.309157423585</v>
      </c>
      <c r="V33" s="16">
        <v>0.2865547116</v>
      </c>
      <c r="W33" s="16">
        <v>0.339901389</v>
      </c>
      <c r="X33" s="16">
        <v>0.2493782453</v>
      </c>
      <c r="Y33" s="16">
        <v>0.28938139195</v>
      </c>
      <c r="Z33" s="16">
        <v>0.309879475</v>
      </c>
      <c r="AA33" s="15">
        <v>0.007981355146984542</v>
      </c>
      <c r="AB33" s="16">
        <v>0.003958051169503231</v>
      </c>
      <c r="AC33" s="16">
        <v>0.01203788604674046</v>
      </c>
      <c r="AD33" s="16">
        <v>0.005826009856177068</v>
      </c>
      <c r="AE33" s="16">
        <v>0.02017249773700795</v>
      </c>
      <c r="AG33" s="16">
        <v>0.5433841673</v>
      </c>
      <c r="AH33" s="16">
        <v>0.4884509702</v>
      </c>
      <c r="AI33" s="16">
        <v>0.01158982793</v>
      </c>
      <c r="AJ33" s="16">
        <v>0.594286452</v>
      </c>
      <c r="AK33" s="16">
        <v>0.6021425687</v>
      </c>
      <c r="AL33" s="16">
        <v>0.004848648308</v>
      </c>
    </row>
    <row r="34">
      <c r="A34" s="14" t="s">
        <v>46</v>
      </c>
      <c r="B34" s="15">
        <v>0.249570783885</v>
      </c>
      <c r="C34" s="16">
        <v>0.284986192185</v>
      </c>
      <c r="D34" s="16">
        <v>0.204137864375</v>
      </c>
      <c r="E34" s="16">
        <v>0.244641039665</v>
      </c>
      <c r="F34" s="16">
        <v>0.25468909781</v>
      </c>
      <c r="G34" s="16">
        <v>0.2529470451</v>
      </c>
      <c r="H34" s="16">
        <v>0.2853280959</v>
      </c>
      <c r="I34" s="16">
        <v>0.2046863232</v>
      </c>
      <c r="J34" s="16">
        <v>0.246289204</v>
      </c>
      <c r="K34" s="16">
        <v>0.2588970392</v>
      </c>
      <c r="L34" s="16">
        <v>0.01225551709544175</v>
      </c>
      <c r="M34" s="16">
        <v>0.001900374143214006</v>
      </c>
      <c r="N34" s="16">
        <v>0.01118213506209952</v>
      </c>
      <c r="O34" s="16">
        <v>0.004542412004266269</v>
      </c>
      <c r="P34" s="16">
        <v>0.02066889597633676</v>
      </c>
      <c r="Q34" s="16">
        <v>0.218317419755</v>
      </c>
      <c r="R34" s="16">
        <v>0.26324052708</v>
      </c>
      <c r="S34" s="16">
        <v>0.18349293404</v>
      </c>
      <c r="T34" s="16">
        <v>0.22365877309</v>
      </c>
      <c r="U34" s="16">
        <v>0.220901536615</v>
      </c>
      <c r="V34" s="16">
        <v>0.2184948763</v>
      </c>
      <c r="W34" s="16">
        <v>0.2630827031</v>
      </c>
      <c r="X34" s="16">
        <v>0.18351527895</v>
      </c>
      <c r="Y34" s="16">
        <v>0.2257922436</v>
      </c>
      <c r="Z34" s="16">
        <v>0.22122530085</v>
      </c>
      <c r="AA34" s="15">
        <v>0.00978098034823597</v>
      </c>
      <c r="AB34" s="16">
        <v>0.001626666639459386</v>
      </c>
      <c r="AC34" s="16">
        <v>0.008719228269463494</v>
      </c>
      <c r="AD34" s="16">
        <v>0.005176884635585566</v>
      </c>
      <c r="AE34" s="16">
        <v>0.01746231760369486</v>
      </c>
      <c r="AG34" s="16">
        <v>0.423699041</v>
      </c>
      <c r="AH34" s="16">
        <v>0.5140274748</v>
      </c>
      <c r="AI34" s="16">
        <v>0.4203423117</v>
      </c>
      <c r="AJ34" s="16">
        <v>0.4303000958</v>
      </c>
      <c r="AK34" s="16">
        <v>0.3481802283</v>
      </c>
      <c r="AL34" s="16">
        <v>0.3998009975</v>
      </c>
    </row>
    <row r="35">
      <c r="A35" s="14" t="s">
        <v>47</v>
      </c>
      <c r="B35" s="15">
        <v>0.244483734015</v>
      </c>
      <c r="C35" s="16">
        <v>0.277217969625</v>
      </c>
      <c r="D35" s="16">
        <v>0.193054052955</v>
      </c>
      <c r="E35" s="16">
        <v>0.236444034535</v>
      </c>
      <c r="F35" s="16">
        <v>0.240877569945</v>
      </c>
      <c r="G35" s="16">
        <v>0.24643243005</v>
      </c>
      <c r="H35" s="16">
        <v>0.27748754025</v>
      </c>
      <c r="I35" s="16">
        <v>0.1907201274</v>
      </c>
      <c r="J35" s="16">
        <v>0.2373647712</v>
      </c>
      <c r="K35" s="16">
        <v>0.24000671075</v>
      </c>
      <c r="L35" s="16">
        <v>0.006276507389380049</v>
      </c>
      <c r="M35" s="16">
        <v>0.002803492939977105</v>
      </c>
      <c r="N35" s="16">
        <v>0.01025451196811978</v>
      </c>
      <c r="O35" s="16">
        <v>0.006372462631382044</v>
      </c>
      <c r="P35" s="16">
        <v>0.01538339280474336</v>
      </c>
      <c r="Q35" s="16">
        <v>0.2289683591</v>
      </c>
      <c r="R35" s="16">
        <v>0.28032483682</v>
      </c>
      <c r="S35" s="16">
        <v>0.193893466355</v>
      </c>
      <c r="T35" s="16">
        <v>0.23786664907</v>
      </c>
      <c r="U35" s="16">
        <v>0.23964251476</v>
      </c>
      <c r="V35" s="16">
        <v>0.2341853886</v>
      </c>
      <c r="W35" s="16">
        <v>0.2798540834</v>
      </c>
      <c r="X35" s="16">
        <v>0.1916814607</v>
      </c>
      <c r="Y35" s="16">
        <v>0.2399514395</v>
      </c>
      <c r="Z35" s="16">
        <v>0.2341880404</v>
      </c>
      <c r="AA35" s="15">
        <v>0.01489201482603489</v>
      </c>
      <c r="AB35" s="16">
        <v>0.001789368433538632</v>
      </c>
      <c r="AC35" s="16">
        <v>0.008012054170824144</v>
      </c>
      <c r="AD35" s="16">
        <v>0.005876269917078023</v>
      </c>
      <c r="AE35" s="16">
        <v>0.01858462585490867</v>
      </c>
      <c r="AG35" s="16">
        <v>0.426429516</v>
      </c>
      <c r="AH35" s="16">
        <v>0.3475509456</v>
      </c>
      <c r="AI35" s="16">
        <v>0.4202990939</v>
      </c>
      <c r="AJ35" s="16">
        <v>0.4258524198</v>
      </c>
      <c r="AK35" s="16">
        <v>0.3778142225</v>
      </c>
      <c r="AL35" s="16">
        <v>0.3768097441</v>
      </c>
    </row>
    <row r="36">
      <c r="A36" s="14" t="s">
        <v>48</v>
      </c>
      <c r="B36" s="15">
        <v>0.24515020791</v>
      </c>
      <c r="C36" s="16">
        <v>0.28970160828</v>
      </c>
      <c r="D36" s="16">
        <v>0.21154778567</v>
      </c>
      <c r="E36" s="16">
        <v>0.248377304675</v>
      </c>
      <c r="F36" s="16">
        <v>0.244051001035</v>
      </c>
      <c r="G36" s="16">
        <v>0.24455184455</v>
      </c>
      <c r="H36" s="16">
        <v>0.2898224711</v>
      </c>
      <c r="I36" s="16">
        <v>0.2138885753</v>
      </c>
      <c r="J36" s="16">
        <v>0.24884170545</v>
      </c>
      <c r="K36" s="16">
        <v>0.2511563061</v>
      </c>
      <c r="L36" s="16">
        <v>0.01024642012481273</v>
      </c>
      <c r="M36" s="16">
        <v>0.002679233228655743</v>
      </c>
      <c r="N36" s="16">
        <v>0.01106133476773825</v>
      </c>
      <c r="O36" s="16">
        <v>0.004496174314710001</v>
      </c>
      <c r="P36" s="16">
        <v>0.02101177393545407</v>
      </c>
      <c r="Q36" s="16">
        <v>0.21776653128</v>
      </c>
      <c r="R36" s="16">
        <v>0.275907573085</v>
      </c>
      <c r="S36" s="16">
        <v>0.18874413</v>
      </c>
      <c r="T36" s="16">
        <v>0.235331778055</v>
      </c>
      <c r="U36" s="16">
        <v>0.245012956865</v>
      </c>
      <c r="V36" s="16">
        <v>0.21861982865</v>
      </c>
      <c r="W36" s="16">
        <v>0.2749412376</v>
      </c>
      <c r="X36" s="16">
        <v>0.19058776845</v>
      </c>
      <c r="Y36" s="16">
        <v>0.23454580045</v>
      </c>
      <c r="Z36" s="16">
        <v>0.2443788216</v>
      </c>
      <c r="AA36" s="15">
        <v>0.01119545224809971</v>
      </c>
      <c r="AB36" s="16">
        <v>0.002306556681992187</v>
      </c>
      <c r="AC36" s="16">
        <v>0.009432362974263718</v>
      </c>
      <c r="AD36" s="16">
        <v>0.004682407108202079</v>
      </c>
      <c r="AE36" s="16">
        <v>0.01430175073830353</v>
      </c>
      <c r="AG36" s="16">
        <v>0.417343817</v>
      </c>
      <c r="AH36" s="16">
        <v>0.3350160018</v>
      </c>
      <c r="AI36" s="16">
        <v>0.4361644538</v>
      </c>
      <c r="AJ36" s="16">
        <v>0.4278563996</v>
      </c>
      <c r="AK36" s="16">
        <v>0.3458618635</v>
      </c>
      <c r="AL36" s="16">
        <v>0.4159747965</v>
      </c>
    </row>
    <row r="37">
      <c r="A37" s="14" t="s">
        <v>49</v>
      </c>
      <c r="B37" s="15">
        <v>0.24229873643</v>
      </c>
      <c r="C37" s="16">
        <v>0.267753730485</v>
      </c>
      <c r="D37" s="16">
        <v>0.20349377709</v>
      </c>
      <c r="E37" s="16">
        <v>0.229777324405</v>
      </c>
      <c r="F37" s="16">
        <v>0.27837057039</v>
      </c>
      <c r="G37" s="16">
        <v>0.24247964855</v>
      </c>
      <c r="H37" s="16">
        <v>0.26788210095</v>
      </c>
      <c r="I37" s="16">
        <v>0.20686258055</v>
      </c>
      <c r="J37" s="16">
        <v>0.2300672278</v>
      </c>
      <c r="K37" s="16">
        <v>0.27985404505</v>
      </c>
      <c r="L37" s="16">
        <v>0.006386945331633201</v>
      </c>
      <c r="M37" s="16">
        <v>0.002251628463179216</v>
      </c>
      <c r="N37" s="16">
        <v>0.01001989495095192</v>
      </c>
      <c r="O37" s="16">
        <v>0.004758466132324277</v>
      </c>
      <c r="P37" s="16">
        <v>0.01040446780204666</v>
      </c>
      <c r="Q37" s="16">
        <v>0.22793026607</v>
      </c>
      <c r="R37" s="16">
        <v>0.26783528994</v>
      </c>
      <c r="S37" s="16">
        <v>0.19063435681</v>
      </c>
      <c r="T37" s="16">
        <v>0.2300636211250001</v>
      </c>
      <c r="U37" s="16">
        <v>0.24020010423</v>
      </c>
      <c r="V37" s="16">
        <v>0.22833477815</v>
      </c>
      <c r="W37" s="16">
        <v>0.26833075845</v>
      </c>
      <c r="X37" s="16">
        <v>0.19163409235</v>
      </c>
      <c r="Y37" s="16">
        <v>0.2312763742</v>
      </c>
      <c r="Z37" s="16">
        <v>0.2380424041</v>
      </c>
      <c r="AA37" s="15">
        <v>0.01200104537276948</v>
      </c>
      <c r="AB37" s="16">
        <v>0.00249011888701294</v>
      </c>
      <c r="AC37" s="16">
        <v>0.008292739043885673</v>
      </c>
      <c r="AD37" s="16">
        <v>0.005117640364644623</v>
      </c>
      <c r="AE37" s="16">
        <v>0.01727201185431336</v>
      </c>
      <c r="AG37" s="16">
        <v>0.4450507418</v>
      </c>
      <c r="AH37" s="16">
        <v>0.4326058101</v>
      </c>
      <c r="AI37" s="16">
        <v>0.4260058319</v>
      </c>
      <c r="AJ37" s="16">
        <v>0.3646982808</v>
      </c>
      <c r="AK37" s="16">
        <v>0.2964152628</v>
      </c>
      <c r="AL37" s="16">
        <v>0.6189064299</v>
      </c>
    </row>
    <row r="38">
      <c r="A38" s="14" t="s">
        <v>50</v>
      </c>
      <c r="B38" s="15">
        <v>0.236528263525</v>
      </c>
      <c r="C38" s="16">
        <v>0.276865371465</v>
      </c>
      <c r="D38" s="16">
        <v>0.20487046346</v>
      </c>
      <c r="E38" s="16">
        <v>0.239021555955</v>
      </c>
      <c r="F38" s="16">
        <v>0.25738560605</v>
      </c>
      <c r="G38" s="16">
        <v>0.2368343134</v>
      </c>
      <c r="H38" s="16">
        <v>0.2769990592</v>
      </c>
      <c r="I38" s="16">
        <v>0.2117251363</v>
      </c>
      <c r="J38" s="16">
        <v>0.2389316721</v>
      </c>
      <c r="K38" s="16">
        <v>0.26133329385</v>
      </c>
      <c r="L38" s="16">
        <v>0.006388233842862523</v>
      </c>
      <c r="M38" s="16">
        <v>0.002372369317617742</v>
      </c>
      <c r="N38" s="16">
        <v>0.01279018819063757</v>
      </c>
      <c r="O38" s="16">
        <v>0.003560915585078724</v>
      </c>
      <c r="P38" s="16">
        <v>0.02153299713717232</v>
      </c>
      <c r="Q38" s="16">
        <v>0.23175564477</v>
      </c>
      <c r="R38" s="16">
        <v>0.269294762345</v>
      </c>
      <c r="S38" s="16">
        <v>0.19980824362</v>
      </c>
      <c r="T38" s="16">
        <v>0.23128268622</v>
      </c>
      <c r="U38" s="16">
        <v>0.24924470349</v>
      </c>
      <c r="V38" s="16">
        <v>0.23072496405</v>
      </c>
      <c r="W38" s="16">
        <v>0.26967618405</v>
      </c>
      <c r="X38" s="16">
        <v>0.20089179795</v>
      </c>
      <c r="Y38" s="16">
        <v>0.23200156935</v>
      </c>
      <c r="Z38" s="16">
        <v>0.2461755576</v>
      </c>
      <c r="AA38" s="15">
        <v>0.005692788379732053</v>
      </c>
      <c r="AB38" s="16">
        <v>0.003245682430565929</v>
      </c>
      <c r="AC38" s="16">
        <v>0.01009819762366083</v>
      </c>
      <c r="AD38" s="16">
        <v>0.005803764518495129</v>
      </c>
      <c r="AE38" s="16">
        <v>0.01876627315410762</v>
      </c>
      <c r="AG38" s="16">
        <v>0.4061046236</v>
      </c>
      <c r="AH38" s="16">
        <v>0.3885122623</v>
      </c>
      <c r="AI38" s="16">
        <v>0.4265115926</v>
      </c>
      <c r="AJ38" s="16">
        <v>0.4129513149</v>
      </c>
      <c r="AK38" s="16">
        <v>0.3316996107</v>
      </c>
      <c r="AL38" s="16">
        <v>0.4041087419</v>
      </c>
    </row>
    <row r="39">
      <c r="A39" s="14" t="s">
        <v>51</v>
      </c>
      <c r="B39" s="15">
        <v>0.247874389655</v>
      </c>
      <c r="C39" s="16">
        <v>0.289998929915</v>
      </c>
      <c r="D39" s="16">
        <v>0.214909234715</v>
      </c>
      <c r="E39" s="16">
        <v>0.24782931498</v>
      </c>
      <c r="F39" s="16">
        <v>0.25752494188</v>
      </c>
      <c r="G39" s="16">
        <v>0.2477920329</v>
      </c>
      <c r="H39" s="16">
        <v>0.2899332885</v>
      </c>
      <c r="I39" s="16">
        <v>0.21318805085</v>
      </c>
      <c r="J39" s="16">
        <v>0.24790004065</v>
      </c>
      <c r="K39" s="16">
        <v>0.2544945242</v>
      </c>
      <c r="L39" s="16">
        <v>0.005560945386742212</v>
      </c>
      <c r="M39" s="16">
        <v>0.002771181967225506</v>
      </c>
      <c r="N39" s="16">
        <v>0.01002838886537794</v>
      </c>
      <c r="O39" s="16">
        <v>0.004366290627444007</v>
      </c>
      <c r="P39" s="16">
        <v>0.02285498780960697</v>
      </c>
      <c r="Q39" s="16">
        <v>0.229243219545</v>
      </c>
      <c r="R39" s="16">
        <v>0.2775384695049999</v>
      </c>
      <c r="S39" s="16">
        <v>0.200949352885</v>
      </c>
      <c r="T39" s="16">
        <v>0.23630064591</v>
      </c>
      <c r="U39" s="16">
        <v>0.240068007425</v>
      </c>
      <c r="V39" s="16">
        <v>0.23034421205</v>
      </c>
      <c r="W39" s="16">
        <v>0.2768061675</v>
      </c>
      <c r="X39" s="16">
        <v>0.2020573203</v>
      </c>
      <c r="Y39" s="16">
        <v>0.2386229309</v>
      </c>
      <c r="Z39" s="16">
        <v>0.24117782485</v>
      </c>
      <c r="AA39" s="15">
        <v>0.006524799978259056</v>
      </c>
      <c r="AB39" s="16">
        <v>0.002545415773411763</v>
      </c>
      <c r="AC39" s="16">
        <v>0.009998954583139501</v>
      </c>
      <c r="AD39" s="16">
        <v>0.006003035516151585</v>
      </c>
      <c r="AE39" s="16">
        <v>0.02224669815965786</v>
      </c>
      <c r="AG39" s="16">
        <v>0.4317614004</v>
      </c>
      <c r="AH39" s="16">
        <v>0.4301470798</v>
      </c>
      <c r="AI39" s="16">
        <v>0.4252444266</v>
      </c>
      <c r="AJ39" s="16">
        <v>0.422664624</v>
      </c>
      <c r="AK39" s="16">
        <v>0.3774131536</v>
      </c>
      <c r="AL39" s="16">
        <v>0.412874984</v>
      </c>
    </row>
    <row r="40">
      <c r="A40" s="14" t="s">
        <v>52</v>
      </c>
      <c r="B40" s="15">
        <v>0.2527066059949999</v>
      </c>
      <c r="C40" s="16">
        <v>0.282637077255</v>
      </c>
      <c r="D40" s="16">
        <v>0.24062335233</v>
      </c>
      <c r="E40" s="16">
        <v>0.25430448515</v>
      </c>
      <c r="F40" s="16">
        <v>0.26212500545</v>
      </c>
      <c r="G40" s="16">
        <v>0.25383067225</v>
      </c>
      <c r="H40" s="16">
        <v>0.28269121985</v>
      </c>
      <c r="I40" s="16">
        <v>0.24261670065</v>
      </c>
      <c r="J40" s="16">
        <v>0.25433580735</v>
      </c>
      <c r="K40" s="16">
        <v>0.2661479302999999</v>
      </c>
      <c r="L40" s="16">
        <v>0.003984836533014679</v>
      </c>
      <c r="M40" s="16">
        <v>0.00164593826300605</v>
      </c>
      <c r="N40" s="16">
        <v>0.00758196910951156</v>
      </c>
      <c r="O40" s="16">
        <v>0.005048126964696584</v>
      </c>
      <c r="P40" s="16">
        <v>0.01723574071238255</v>
      </c>
      <c r="Q40" s="16">
        <v>0.225523222055</v>
      </c>
      <c r="R40" s="16">
        <v>0.260069593225</v>
      </c>
      <c r="S40" s="16">
        <v>0.2175515131</v>
      </c>
      <c r="T40" s="16">
        <v>0.23080476611</v>
      </c>
      <c r="U40" s="16">
        <v>0.237697887175</v>
      </c>
      <c r="V40" s="16">
        <v>0.22756541465</v>
      </c>
      <c r="W40" s="16">
        <v>0.26019737005</v>
      </c>
      <c r="X40" s="16">
        <v>0.2171351758</v>
      </c>
      <c r="Y40" s="16">
        <v>0.23162345775</v>
      </c>
      <c r="Z40" s="16">
        <v>0.2349391408</v>
      </c>
      <c r="AA40" s="15">
        <v>0.009033737874632264</v>
      </c>
      <c r="AB40" s="16">
        <v>0.001741698003885014</v>
      </c>
      <c r="AC40" s="16">
        <v>0.008278229372475384</v>
      </c>
      <c r="AD40" s="16">
        <v>0.004173771258433715</v>
      </c>
      <c r="AE40" s="16">
        <v>0.009244966488156706</v>
      </c>
      <c r="AG40" s="16">
        <v>0.367110479</v>
      </c>
      <c r="AH40" s="16">
        <v>0.3219374677</v>
      </c>
      <c r="AI40" s="16">
        <v>0.3989094922</v>
      </c>
      <c r="AJ40" s="16">
        <v>0.3734572545</v>
      </c>
      <c r="AK40" s="16">
        <v>0.2932710469</v>
      </c>
      <c r="AL40" s="16">
        <v>0.4140923999</v>
      </c>
    </row>
    <row r="41">
      <c r="A41" s="14" t="s">
        <v>54</v>
      </c>
      <c r="B41" s="15">
        <v>0.2337774127199999</v>
      </c>
      <c r="C41" s="16">
        <v>0.269829157805</v>
      </c>
      <c r="D41" s="16">
        <v>0.2264470772299999</v>
      </c>
      <c r="E41" s="16">
        <v>0.240268424045</v>
      </c>
      <c r="F41" s="16">
        <v>0.24347245716</v>
      </c>
      <c r="G41" s="16">
        <v>0.2343783971</v>
      </c>
      <c r="H41" s="16">
        <v>0.26991265545</v>
      </c>
      <c r="I41" s="16">
        <v>0.22687105205</v>
      </c>
      <c r="J41" s="16">
        <v>0.24187958595</v>
      </c>
      <c r="K41" s="16">
        <v>0.24459902455</v>
      </c>
      <c r="L41" s="16">
        <v>0.008475889441203862</v>
      </c>
      <c r="M41" s="16">
        <v>0.001233308803356463</v>
      </c>
      <c r="N41" s="16">
        <v>0.006545015053623473</v>
      </c>
      <c r="O41" s="16">
        <v>0.00478044632531289</v>
      </c>
      <c r="P41" s="16">
        <v>0.01070941343900452</v>
      </c>
      <c r="Q41" s="16">
        <v>0.23026072769</v>
      </c>
      <c r="R41" s="16">
        <v>0.255234500945</v>
      </c>
      <c r="S41" s="16">
        <v>0.212250372</v>
      </c>
      <c r="T41" s="16">
        <v>0.225720847915</v>
      </c>
      <c r="U41" s="16">
        <v>0.233204496135</v>
      </c>
      <c r="V41" s="16">
        <v>0.23045653905</v>
      </c>
      <c r="W41" s="16">
        <v>0.2553390905</v>
      </c>
      <c r="X41" s="16">
        <v>0.21543249055</v>
      </c>
      <c r="Y41" s="16">
        <v>0.2253497865</v>
      </c>
      <c r="Z41" s="16">
        <v>0.23447982275</v>
      </c>
      <c r="AA41" s="15">
        <v>0.004989555123769573</v>
      </c>
      <c r="AB41" s="16">
        <v>0.001697435871373085</v>
      </c>
      <c r="AC41" s="16">
        <v>0.009107468911765358</v>
      </c>
      <c r="AD41" s="16">
        <v>0.003598189385732532</v>
      </c>
      <c r="AE41" s="16">
        <v>0.01084888725857848</v>
      </c>
      <c r="AG41" s="16">
        <v>0.352589253</v>
      </c>
      <c r="AH41" s="16">
        <v>0.3554757549</v>
      </c>
      <c r="AI41" s="16">
        <v>0.3875108451</v>
      </c>
      <c r="AJ41" s="16">
        <v>0.3660758348</v>
      </c>
      <c r="AK41" s="16">
        <v>0.285353781</v>
      </c>
      <c r="AL41" s="16">
        <v>0.4087422842</v>
      </c>
    </row>
    <row r="42">
      <c r="A42" s="14" t="s">
        <v>55</v>
      </c>
      <c r="B42" s="15">
        <v>0.220447036035</v>
      </c>
      <c r="C42" s="16">
        <v>0.25808540168</v>
      </c>
      <c r="D42" s="16">
        <v>0.21081884825</v>
      </c>
      <c r="E42" s="16">
        <v>0.22856936833</v>
      </c>
      <c r="F42" s="16">
        <v>0.23290534759</v>
      </c>
      <c r="G42" s="16">
        <v>0.21988957435</v>
      </c>
      <c r="H42" s="16">
        <v>0.25837392505</v>
      </c>
      <c r="I42" s="16">
        <v>0.2091172055</v>
      </c>
      <c r="J42" s="16">
        <v>0.22843914905</v>
      </c>
      <c r="K42" s="16">
        <v>0.23361289235</v>
      </c>
      <c r="L42" s="16">
        <v>0.005245029060838489</v>
      </c>
      <c r="M42" s="16">
        <v>0.001704320933377259</v>
      </c>
      <c r="N42" s="16">
        <v>0.008562186763661548</v>
      </c>
      <c r="O42" s="16">
        <v>0.003735669105645933</v>
      </c>
      <c r="P42" s="16">
        <v>0.01251834710038063</v>
      </c>
      <c r="Q42" s="16">
        <v>0.233345864495</v>
      </c>
      <c r="R42" s="16">
        <v>0.26556013764</v>
      </c>
      <c r="S42" s="16">
        <v>0.2175966122</v>
      </c>
      <c r="T42" s="16">
        <v>0.2382694249400001</v>
      </c>
      <c r="U42" s="16">
        <v>0.2416200560600001</v>
      </c>
      <c r="V42" s="16">
        <v>0.23387410895</v>
      </c>
      <c r="W42" s="16">
        <v>0.26576026015</v>
      </c>
      <c r="X42" s="16">
        <v>0.21775143915</v>
      </c>
      <c r="Y42" s="16">
        <v>0.23922142585</v>
      </c>
      <c r="Z42" s="16">
        <v>0.2434565316</v>
      </c>
      <c r="AA42" s="15">
        <v>0.004709471657220209</v>
      </c>
      <c r="AB42" s="16">
        <v>0.001233102712341043</v>
      </c>
      <c r="AC42" s="16">
        <v>0.006013426943000887</v>
      </c>
      <c r="AD42" s="16">
        <v>0.0058249797801791</v>
      </c>
      <c r="AE42" s="16">
        <v>0.008947003411751203</v>
      </c>
      <c r="AG42" s="16">
        <v>0.3628319793</v>
      </c>
      <c r="AH42" s="16">
        <v>0.3124196544</v>
      </c>
      <c r="AI42" s="16">
        <v>0.3960676183</v>
      </c>
      <c r="AJ42" s="16">
        <v>0.359194744</v>
      </c>
      <c r="AK42" s="16">
        <v>0.2769917768</v>
      </c>
      <c r="AL42" s="16">
        <v>0.3944530917</v>
      </c>
    </row>
    <row r="43">
      <c r="A43" s="14" t="s">
        <v>56</v>
      </c>
      <c r="B43" s="15">
        <v>0.217179706335</v>
      </c>
      <c r="C43" s="16">
        <v>0.24934243851</v>
      </c>
      <c r="D43" s="16">
        <v>0.20492969334</v>
      </c>
      <c r="E43" s="16">
        <v>0.221777919115</v>
      </c>
      <c r="F43" s="16">
        <v>0.232763005905</v>
      </c>
      <c r="G43" s="16">
        <v>0.22176928785</v>
      </c>
      <c r="H43" s="16">
        <v>0.2495057849</v>
      </c>
      <c r="I43" s="16">
        <v>0.2050950739</v>
      </c>
      <c r="J43" s="16">
        <v>0.2217692423</v>
      </c>
      <c r="K43" s="16">
        <v>0.2345405803</v>
      </c>
      <c r="L43" s="16">
        <v>0.0122144400051165</v>
      </c>
      <c r="M43" s="16">
        <v>0.001823177249781883</v>
      </c>
      <c r="N43" s="16">
        <v>0.006368676781555334</v>
      </c>
      <c r="O43" s="16">
        <v>0.004090409610890593</v>
      </c>
      <c r="P43" s="16">
        <v>0.01016130464889989</v>
      </c>
      <c r="Q43" s="16">
        <v>0.22252963038</v>
      </c>
      <c r="R43" s="16">
        <v>0.255561690915</v>
      </c>
      <c r="S43" s="16">
        <v>0.211702922635</v>
      </c>
      <c r="T43" s="16">
        <v>0.228135746225</v>
      </c>
      <c r="U43" s="16">
        <v>0.234980515285</v>
      </c>
      <c r="V43" s="16">
        <v>0.2232822726</v>
      </c>
      <c r="W43" s="16">
        <v>0.25582146325</v>
      </c>
      <c r="X43" s="16">
        <v>0.21294497205</v>
      </c>
      <c r="Y43" s="16">
        <v>0.2296718229</v>
      </c>
      <c r="Z43" s="16">
        <v>0.23369901905</v>
      </c>
      <c r="AA43" s="15">
        <v>0.007221090278763336</v>
      </c>
      <c r="AB43" s="16">
        <v>0.001854713493286866</v>
      </c>
      <c r="AC43" s="16">
        <v>0.007258394098455319</v>
      </c>
      <c r="AD43" s="16">
        <v>0.004303072607159251</v>
      </c>
      <c r="AE43" s="16">
        <v>0.01034833598963187</v>
      </c>
      <c r="AG43" s="16">
        <v>0.372182432</v>
      </c>
      <c r="AH43" s="16">
        <v>0.3808664175</v>
      </c>
      <c r="AI43" s="16">
        <v>0.4163373945</v>
      </c>
      <c r="AJ43" s="16">
        <v>0.3559093127</v>
      </c>
      <c r="AK43" s="16">
        <v>0.3269048476</v>
      </c>
      <c r="AL43" s="16">
        <v>0.389505868</v>
      </c>
    </row>
    <row r="44">
      <c r="A44" s="14" t="s">
        <v>57</v>
      </c>
      <c r="B44" s="15">
        <v>0.225040277275</v>
      </c>
      <c r="C44" s="16">
        <v>0.255537899705</v>
      </c>
      <c r="D44" s="16">
        <v>0.213440767295</v>
      </c>
      <c r="E44" s="16">
        <v>0.2270274366</v>
      </c>
      <c r="F44" s="16">
        <v>0.23579609974</v>
      </c>
      <c r="G44" s="16">
        <v>0.22565800995</v>
      </c>
      <c r="H44" s="16">
        <v>0.2560032673</v>
      </c>
      <c r="I44" s="16">
        <v>0.2139879225</v>
      </c>
      <c r="J44" s="16">
        <v>0.2279451183</v>
      </c>
      <c r="K44" s="16">
        <v>0.23659492075</v>
      </c>
      <c r="L44" s="16">
        <v>0.007135824352801049</v>
      </c>
      <c r="M44" s="16">
        <v>0.001441833856351106</v>
      </c>
      <c r="N44" s="16">
        <v>0.006528271555711834</v>
      </c>
      <c r="O44" s="16">
        <v>0.004132399001860992</v>
      </c>
      <c r="P44" s="16">
        <v>0.01259350352587563</v>
      </c>
      <c r="Q44" s="16">
        <v>0.21564150564</v>
      </c>
      <c r="R44" s="16">
        <v>0.245068039515</v>
      </c>
      <c r="S44" s="16">
        <v>0.20002464574</v>
      </c>
      <c r="T44" s="16">
        <v>0.218056938715</v>
      </c>
      <c r="U44" s="16">
        <v>0.231533666275</v>
      </c>
      <c r="V44" s="16">
        <v>0.2162197735</v>
      </c>
      <c r="W44" s="16">
        <v>0.2450076439</v>
      </c>
      <c r="X44" s="16">
        <v>0.19810385795</v>
      </c>
      <c r="Y44" s="16">
        <v>0.21883251025</v>
      </c>
      <c r="Z44" s="16">
        <v>0.2317659739</v>
      </c>
      <c r="AA44" s="15">
        <v>0.005379279365690741</v>
      </c>
      <c r="AB44" s="16">
        <v>0.001798012972062571</v>
      </c>
      <c r="AC44" s="16">
        <v>0.009372510574541032</v>
      </c>
      <c r="AD44" s="16">
        <v>0.005338532874109428</v>
      </c>
      <c r="AE44" s="16">
        <v>0.009051818980325832</v>
      </c>
      <c r="AG44" s="16">
        <v>0.3585986183</v>
      </c>
      <c r="AH44" s="16">
        <v>0.3576002015</v>
      </c>
      <c r="AI44" s="16">
        <v>0.3926420258</v>
      </c>
      <c r="AJ44" s="16">
        <v>0.3533230106</v>
      </c>
      <c r="AK44" s="16">
        <v>0.3335975729</v>
      </c>
      <c r="AL44" s="16">
        <v>0.4019136708</v>
      </c>
    </row>
    <row r="45">
      <c r="A45" s="14" t="s">
        <v>58</v>
      </c>
      <c r="B45" s="15">
        <v>0.240028523515</v>
      </c>
      <c r="C45" s="16">
        <v>0.259883754</v>
      </c>
      <c r="D45" s="16">
        <v>0.214001924665</v>
      </c>
      <c r="E45" s="16">
        <v>0.23062811591</v>
      </c>
      <c r="F45" s="16">
        <v>0.2522127231700001</v>
      </c>
      <c r="G45" s="16">
        <v>0.23959713625</v>
      </c>
      <c r="H45" s="16">
        <v>0.26003907045</v>
      </c>
      <c r="I45" s="16">
        <v>0.2147828544</v>
      </c>
      <c r="J45" s="16">
        <v>0.2302394202</v>
      </c>
      <c r="K45" s="16">
        <v>0.253233482</v>
      </c>
      <c r="L45" s="16">
        <v>0.005370073925610629</v>
      </c>
      <c r="M45" s="16">
        <v>0.001885422095693419</v>
      </c>
      <c r="N45" s="16">
        <v>0.008313304847518965</v>
      </c>
      <c r="O45" s="16">
        <v>0.003599108157986228</v>
      </c>
      <c r="P45" s="16">
        <v>0.00946991789940017</v>
      </c>
      <c r="Q45" s="16">
        <v>0.224625974115</v>
      </c>
      <c r="R45" s="16">
        <v>0.2523040149249999</v>
      </c>
      <c r="S45" s="16">
        <v>0.212647807395</v>
      </c>
      <c r="T45" s="16">
        <v>0.22254598698</v>
      </c>
      <c r="U45" s="16">
        <v>0.236682678115</v>
      </c>
      <c r="V45" s="16">
        <v>0.2242456381</v>
      </c>
      <c r="W45" s="16">
        <v>0.25255117315</v>
      </c>
      <c r="X45" s="16">
        <v>0.2107154547</v>
      </c>
      <c r="Y45" s="16">
        <v>0.2242244558</v>
      </c>
      <c r="Z45" s="16">
        <v>0.23717528365</v>
      </c>
      <c r="AA45" s="15">
        <v>0.005168662446687695</v>
      </c>
      <c r="AB45" s="16">
        <v>0.001685181219714752</v>
      </c>
      <c r="AC45" s="16">
        <v>0.007062616944230949</v>
      </c>
      <c r="AD45" s="16">
        <v>0.005117620988314377</v>
      </c>
      <c r="AE45" s="16">
        <v>0.01093446755012519</v>
      </c>
      <c r="AG45" s="16">
        <v>0.3798876838</v>
      </c>
      <c r="AH45" s="16">
        <v>0.3457388801</v>
      </c>
      <c r="AI45" s="16">
        <v>0.414666636</v>
      </c>
      <c r="AJ45" s="16">
        <v>0.3650018906</v>
      </c>
      <c r="AK45" s="16">
        <v>0.3860051645</v>
      </c>
      <c r="AL45" s="16">
        <v>0.3935476484</v>
      </c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</sheetData>
  <mergeCells count="11">
    <mergeCell ref="L2:P2"/>
    <mergeCell ref="Q2:U2"/>
    <mergeCell ref="V2:Z2"/>
    <mergeCell ref="AA2:AE2"/>
    <mergeCell ref="A1:A3"/>
    <mergeCell ref="B1:P1"/>
    <mergeCell ref="Q1:AE1"/>
    <mergeCell ref="AG1:AI1"/>
    <mergeCell ref="AJ1:AL1"/>
    <mergeCell ref="B2:F2"/>
    <mergeCell ref="G2:K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Q1" s="3" t="s">
        <v>2</v>
      </c>
      <c r="AF1" s="4"/>
      <c r="AG1" s="5" t="s">
        <v>3</v>
      </c>
      <c r="AH1" s="6"/>
      <c r="AI1" s="7"/>
      <c r="AJ1" s="5" t="s">
        <v>4</v>
      </c>
      <c r="AK1" s="6"/>
      <c r="AL1" s="7"/>
    </row>
    <row r="2">
      <c r="B2" s="8" t="s">
        <v>5</v>
      </c>
      <c r="G2" s="8" t="s">
        <v>6</v>
      </c>
      <c r="L2" s="8" t="s">
        <v>7</v>
      </c>
      <c r="Q2" s="3" t="s">
        <v>5</v>
      </c>
      <c r="V2" s="3" t="s">
        <v>6</v>
      </c>
      <c r="AA2" s="3" t="s">
        <v>7</v>
      </c>
      <c r="AF2" s="4"/>
      <c r="AG2" s="9" t="s">
        <v>8</v>
      </c>
      <c r="AH2" s="9" t="s">
        <v>9</v>
      </c>
      <c r="AI2" s="9" t="s">
        <v>10</v>
      </c>
      <c r="AJ2" s="9" t="s">
        <v>8</v>
      </c>
      <c r="AK2" s="9" t="s">
        <v>9</v>
      </c>
      <c r="AL2" s="9" t="s">
        <v>10</v>
      </c>
    </row>
    <row r="3">
      <c r="B3" s="10" t="s">
        <v>11</v>
      </c>
      <c r="C3" s="10" t="s">
        <v>12</v>
      </c>
      <c r="D3" s="10" t="s">
        <v>13</v>
      </c>
      <c r="E3" s="10" t="s">
        <v>59</v>
      </c>
      <c r="F3" s="10" t="s">
        <v>15</v>
      </c>
      <c r="G3" s="10" t="s">
        <v>11</v>
      </c>
      <c r="H3" s="10" t="s">
        <v>12</v>
      </c>
      <c r="I3" s="10" t="s">
        <v>13</v>
      </c>
      <c r="J3" s="10" t="s">
        <v>59</v>
      </c>
      <c r="K3" s="10" t="s">
        <v>15</v>
      </c>
      <c r="L3" s="10" t="s">
        <v>11</v>
      </c>
      <c r="M3" s="10" t="s">
        <v>12</v>
      </c>
      <c r="N3" s="10" t="s">
        <v>13</v>
      </c>
      <c r="O3" s="10" t="s">
        <v>59</v>
      </c>
      <c r="P3" s="10" t="s">
        <v>15</v>
      </c>
      <c r="Q3" s="11" t="s">
        <v>11</v>
      </c>
      <c r="R3" s="11" t="s">
        <v>12</v>
      </c>
      <c r="S3" s="11" t="s">
        <v>13</v>
      </c>
      <c r="T3" s="11" t="s">
        <v>59</v>
      </c>
      <c r="U3" s="11" t="s">
        <v>15</v>
      </c>
      <c r="V3" s="11" t="s">
        <v>11</v>
      </c>
      <c r="W3" s="11" t="s">
        <v>12</v>
      </c>
      <c r="X3" s="11" t="s">
        <v>13</v>
      </c>
      <c r="Y3" s="11" t="s">
        <v>59</v>
      </c>
      <c r="Z3" s="11" t="s">
        <v>15</v>
      </c>
      <c r="AA3" s="11" t="s">
        <v>11</v>
      </c>
      <c r="AB3" s="11" t="s">
        <v>12</v>
      </c>
      <c r="AC3" s="11" t="s">
        <v>13</v>
      </c>
      <c r="AD3" s="11" t="s">
        <v>59</v>
      </c>
      <c r="AE3" s="11" t="s">
        <v>15</v>
      </c>
      <c r="AF3" s="12"/>
      <c r="AG3" s="13"/>
      <c r="AH3" s="13"/>
      <c r="AI3" s="13"/>
      <c r="AJ3" s="13"/>
      <c r="AK3" s="13"/>
      <c r="AL3" s="13"/>
    </row>
    <row r="4">
      <c r="A4" s="14" t="s">
        <v>16</v>
      </c>
      <c r="B4" s="15">
        <v>0.0</v>
      </c>
      <c r="C4" s="16">
        <v>0.0281279540759</v>
      </c>
      <c r="D4" s="16">
        <v>8.0537938967E-5</v>
      </c>
      <c r="E4" s="16">
        <v>0.0</v>
      </c>
      <c r="F4" s="16">
        <v>0.0147973970102</v>
      </c>
      <c r="G4" s="16">
        <v>0.0</v>
      </c>
      <c r="H4" s="16">
        <v>0.02473807587</v>
      </c>
      <c r="I4" s="16">
        <v>0.0</v>
      </c>
      <c r="J4" s="16">
        <v>0.0</v>
      </c>
      <c r="K4" s="16">
        <v>0.01929888305</v>
      </c>
      <c r="L4" s="16">
        <v>0.0</v>
      </c>
      <c r="M4" s="16">
        <v>0.01295667565247211</v>
      </c>
      <c r="N4" s="16">
        <v>1.485124928717504E-4</v>
      </c>
      <c r="O4" s="16">
        <v>0.0</v>
      </c>
      <c r="P4" s="16">
        <v>0.008897575035513377</v>
      </c>
      <c r="Q4" s="15">
        <v>0.023265165</v>
      </c>
      <c r="R4" s="15">
        <v>0.049255438021</v>
      </c>
      <c r="S4" s="15">
        <v>0.02333096448749999</v>
      </c>
      <c r="T4" s="15">
        <v>0.023265165</v>
      </c>
      <c r="U4" s="15">
        <v>0.02998321446500001</v>
      </c>
      <c r="V4" s="15">
        <v>0.023265165</v>
      </c>
      <c r="W4" s="15">
        <v>0.048760957565</v>
      </c>
      <c r="X4" s="15">
        <v>0.02335289765</v>
      </c>
      <c r="Y4" s="15">
        <v>0.023265165</v>
      </c>
      <c r="Z4" s="15">
        <v>0.02346603638</v>
      </c>
      <c r="AA4" s="15">
        <v>3.469446951953614E-18</v>
      </c>
      <c r="AB4" s="16">
        <v>0.01025426480685828</v>
      </c>
      <c r="AC4" s="16">
        <v>3.798935182066371E-5</v>
      </c>
      <c r="AD4" s="16">
        <v>3.469446951953614E-18</v>
      </c>
      <c r="AE4" s="16">
        <v>0.00781864334588265</v>
      </c>
      <c r="AG4" s="16">
        <v>0.6401886887</v>
      </c>
      <c r="AH4" s="16">
        <v>0.6401886887</v>
      </c>
      <c r="AI4" s="16">
        <v>0.2015242561</v>
      </c>
      <c r="AJ4" s="16">
        <v>0.5748661506</v>
      </c>
      <c r="AK4" s="16">
        <v>0.5659526807</v>
      </c>
      <c r="AL4" s="16">
        <v>0.101575549</v>
      </c>
    </row>
    <row r="5">
      <c r="A5" s="14" t="s">
        <v>17</v>
      </c>
      <c r="B5" s="15">
        <v>0.01293265902</v>
      </c>
      <c r="C5" s="16">
        <v>0.03999930096800001</v>
      </c>
      <c r="D5" s="16">
        <v>0.013104549372</v>
      </c>
      <c r="E5" s="16">
        <v>0.01293265902</v>
      </c>
      <c r="F5" s="16">
        <v>0.023161156044</v>
      </c>
      <c r="G5" s="16">
        <v>0.01293265902</v>
      </c>
      <c r="H5" s="16">
        <v>0.03572680089</v>
      </c>
      <c r="I5" s="16">
        <v>0.01293265902</v>
      </c>
      <c r="J5" s="16">
        <v>0.01293265902</v>
      </c>
      <c r="K5" s="16">
        <v>0.02157818626</v>
      </c>
      <c r="L5" s="16">
        <v>3.469446951953614E-18</v>
      </c>
      <c r="M5" s="16">
        <v>0.01084439308116353</v>
      </c>
      <c r="N5" s="16">
        <v>3.437807039999998E-4</v>
      </c>
      <c r="O5" s="16">
        <v>3.469446951953614E-18</v>
      </c>
      <c r="P5" s="16">
        <v>0.007451426047521484</v>
      </c>
      <c r="Q5" s="15">
        <v>0.0</v>
      </c>
      <c r="R5" s="15">
        <v>0.00838021763545</v>
      </c>
      <c r="S5" s="15">
        <v>0.0</v>
      </c>
      <c r="T5" s="15">
        <v>0.0</v>
      </c>
      <c r="U5" s="15">
        <v>0.007625470963359998</v>
      </c>
      <c r="V5" s="15">
        <v>0.0</v>
      </c>
      <c r="W5" s="15">
        <v>0.008294694264</v>
      </c>
      <c r="X5" s="15">
        <v>0.0</v>
      </c>
      <c r="Y5" s="15">
        <v>0.0</v>
      </c>
      <c r="Z5" s="15">
        <v>0.006101075997</v>
      </c>
      <c r="AA5" s="15">
        <v>0.0</v>
      </c>
      <c r="AB5" s="16">
        <v>0.003520173788941375</v>
      </c>
      <c r="AC5" s="16">
        <v>0.0</v>
      </c>
      <c r="AD5" s="16">
        <v>0.0</v>
      </c>
      <c r="AE5" s="16">
        <v>0.004834065536363024</v>
      </c>
      <c r="AG5" s="16">
        <v>0.6070167101</v>
      </c>
      <c r="AH5" s="16">
        <v>0.6039789703</v>
      </c>
      <c r="AI5" s="16">
        <v>0.07455396627</v>
      </c>
      <c r="AJ5" s="16">
        <v>0.5861547423</v>
      </c>
      <c r="AK5" s="16">
        <v>0.5728811339</v>
      </c>
      <c r="AL5" s="16">
        <v>0.1121848284</v>
      </c>
    </row>
    <row r="6">
      <c r="A6" s="14" t="s">
        <v>18</v>
      </c>
      <c r="B6" s="15">
        <v>0.0</v>
      </c>
      <c r="C6" s="16">
        <v>0.0224555747923</v>
      </c>
      <c r="D6" s="16">
        <v>8.218533315E-5</v>
      </c>
      <c r="E6" s="16">
        <v>0.0</v>
      </c>
      <c r="F6" s="16">
        <v>0.00683004788827</v>
      </c>
      <c r="G6" s="16">
        <v>0.0</v>
      </c>
      <c r="H6" s="16">
        <v>0.017783579265</v>
      </c>
      <c r="I6" s="16">
        <v>0.0</v>
      </c>
      <c r="J6" s="16">
        <v>0.0</v>
      </c>
      <c r="K6" s="16">
        <v>0.004521821216500001</v>
      </c>
      <c r="L6" s="16">
        <v>0.0</v>
      </c>
      <c r="M6" s="16">
        <v>0.01110094519253279</v>
      </c>
      <c r="N6" s="16">
        <v>2.107384433990904E-4</v>
      </c>
      <c r="O6" s="16">
        <v>0.0</v>
      </c>
      <c r="P6" s="16">
        <v>0.005523230831740343</v>
      </c>
      <c r="Q6" s="15">
        <v>0.0</v>
      </c>
      <c r="R6" s="15">
        <v>0.0178328793142</v>
      </c>
      <c r="S6" s="15">
        <v>1.6474638885E-5</v>
      </c>
      <c r="T6" s="15">
        <v>0.0</v>
      </c>
      <c r="U6" s="15">
        <v>0.009859436052449998</v>
      </c>
      <c r="V6" s="15">
        <v>0.0</v>
      </c>
      <c r="W6" s="15">
        <v>0.016882128515</v>
      </c>
      <c r="X6" s="15">
        <v>0.0</v>
      </c>
      <c r="Y6" s="15">
        <v>0.0</v>
      </c>
      <c r="Z6" s="15">
        <v>0.005838827493</v>
      </c>
      <c r="AA6" s="15">
        <v>0.0</v>
      </c>
      <c r="AB6" s="16">
        <v>0.007446876641819306</v>
      </c>
      <c r="AC6" s="16">
        <v>7.181128603104059E-5</v>
      </c>
      <c r="AD6" s="16">
        <v>0.0</v>
      </c>
      <c r="AE6" s="16">
        <v>0.009208576141602965</v>
      </c>
      <c r="AG6" s="16">
        <v>0.6050236724</v>
      </c>
      <c r="AH6" s="16">
        <v>0.5791230489</v>
      </c>
      <c r="AI6" s="16">
        <v>0.1464446927</v>
      </c>
      <c r="AJ6" s="16">
        <v>0.5672727214</v>
      </c>
      <c r="AK6" s="16">
        <v>0.5672727214</v>
      </c>
      <c r="AL6" s="16">
        <v>0.07810895913</v>
      </c>
    </row>
    <row r="7">
      <c r="A7" s="14" t="s">
        <v>19</v>
      </c>
      <c r="B7" s="15">
        <v>0.009924441432</v>
      </c>
      <c r="C7" s="16">
        <v>0.0332160730225</v>
      </c>
      <c r="D7" s="16">
        <v>0.0099353215818</v>
      </c>
      <c r="E7" s="16">
        <v>0.009924441432</v>
      </c>
      <c r="F7" s="16">
        <v>0.020381972072</v>
      </c>
      <c r="G7" s="16">
        <v>0.009924441432</v>
      </c>
      <c r="H7" s="16">
        <v>0.03458555043</v>
      </c>
      <c r="I7" s="16">
        <v>0.009924441432</v>
      </c>
      <c r="J7" s="16">
        <v>0.009924441432</v>
      </c>
      <c r="K7" s="16">
        <v>0.014837027235</v>
      </c>
      <c r="L7" s="16">
        <v>0.0</v>
      </c>
      <c r="M7" s="16">
        <v>0.008703061871213887</v>
      </c>
      <c r="N7" s="16">
        <v>3.26404494000003E-5</v>
      </c>
      <c r="O7" s="16">
        <v>0.0</v>
      </c>
      <c r="P7" s="16">
        <v>0.01270243971253798</v>
      </c>
      <c r="Q7" s="15">
        <v>0.01016860446</v>
      </c>
      <c r="R7" s="15">
        <v>0.0286490439085</v>
      </c>
      <c r="S7" s="15">
        <v>0.01016860446</v>
      </c>
      <c r="T7" s="15">
        <v>0.01016860446</v>
      </c>
      <c r="U7" s="15">
        <v>0.0288696807975</v>
      </c>
      <c r="V7" s="15">
        <v>0.01016860446</v>
      </c>
      <c r="W7" s="15">
        <v>0.028596444355</v>
      </c>
      <c r="X7" s="15">
        <v>0.01016860446</v>
      </c>
      <c r="Y7" s="15">
        <v>0.01016860446</v>
      </c>
      <c r="Z7" s="15">
        <v>0.0293403869</v>
      </c>
      <c r="AA7" s="15">
        <v>1.734723475976807E-18</v>
      </c>
      <c r="AB7" s="16">
        <v>0.006632879766156231</v>
      </c>
      <c r="AC7" s="16">
        <v>1.734723475976807E-18</v>
      </c>
      <c r="AD7" s="16">
        <v>1.734723475976807E-18</v>
      </c>
      <c r="AE7" s="16">
        <v>0.01183000276281476</v>
      </c>
      <c r="AG7" s="16">
        <v>0.6673546261</v>
      </c>
      <c r="AH7" s="16">
        <v>0.6453225805</v>
      </c>
      <c r="AI7" s="16">
        <v>0.2397889883</v>
      </c>
      <c r="AJ7" s="16">
        <v>0.7177623513</v>
      </c>
      <c r="AK7" s="16">
        <v>0.7161330309</v>
      </c>
      <c r="AL7" s="16">
        <v>0.08784544324</v>
      </c>
    </row>
    <row r="8">
      <c r="A8" s="14" t="s">
        <v>20</v>
      </c>
      <c r="B8" s="15">
        <v>0.0</v>
      </c>
      <c r="C8" s="16">
        <v>0.03794713812249999</v>
      </c>
      <c r="D8" s="16">
        <v>1.4183278275E-4</v>
      </c>
      <c r="E8" s="16">
        <v>0.0</v>
      </c>
      <c r="F8" s="16">
        <v>0.01719197176383</v>
      </c>
      <c r="G8" s="16">
        <v>0.0</v>
      </c>
      <c r="H8" s="16">
        <v>0.0404524253</v>
      </c>
      <c r="I8" s="16">
        <v>1.4183278275E-4</v>
      </c>
      <c r="J8" s="16">
        <v>0.0</v>
      </c>
      <c r="K8" s="16">
        <v>0.01106453351</v>
      </c>
      <c r="L8" s="16">
        <v>0.0</v>
      </c>
      <c r="M8" s="16">
        <v>0.01147424753970926</v>
      </c>
      <c r="N8" s="16">
        <v>1.4183278275E-4</v>
      </c>
      <c r="O8" s="16">
        <v>0.0</v>
      </c>
      <c r="P8" s="16">
        <v>0.0128994278566708</v>
      </c>
      <c r="Q8" s="15">
        <v>0.0</v>
      </c>
      <c r="R8" s="15">
        <v>0.007174245642800001</v>
      </c>
      <c r="S8" s="15">
        <v>3.290985241049999E-5</v>
      </c>
      <c r="T8" s="15">
        <v>0.0</v>
      </c>
      <c r="U8" s="15">
        <v>0.01345990652655</v>
      </c>
      <c r="V8" s="15">
        <v>0.0</v>
      </c>
      <c r="W8" s="15">
        <v>0.006313888945</v>
      </c>
      <c r="X8" s="15">
        <v>0.0</v>
      </c>
      <c r="Y8" s="15">
        <v>0.0</v>
      </c>
      <c r="Z8" s="15">
        <v>0.01422870361</v>
      </c>
      <c r="AA8" s="15">
        <v>0.0</v>
      </c>
      <c r="AB8" s="16">
        <v>0.003349175328695718</v>
      </c>
      <c r="AC8" s="16">
        <v>5.273483664604322E-5</v>
      </c>
      <c r="AD8" s="16">
        <v>0.0</v>
      </c>
      <c r="AE8" s="16">
        <v>0.005938514999167901</v>
      </c>
      <c r="AG8" s="16">
        <v>0.6057962168</v>
      </c>
      <c r="AH8" s="16">
        <v>0.6048685057</v>
      </c>
      <c r="AI8" s="16">
        <v>0.1833808679</v>
      </c>
      <c r="AJ8" s="16">
        <v>0.5998555997</v>
      </c>
      <c r="AK8" s="16">
        <v>0.5651845988</v>
      </c>
      <c r="AL8" s="16">
        <v>0.1902931587</v>
      </c>
    </row>
    <row r="9">
      <c r="A9" s="14" t="s">
        <v>21</v>
      </c>
      <c r="B9" s="15">
        <v>0.002501940741999999</v>
      </c>
      <c r="C9" s="16">
        <v>0.01928974301395</v>
      </c>
      <c r="D9" s="16">
        <v>0.00253804400935</v>
      </c>
      <c r="E9" s="16">
        <v>0.002501940741999999</v>
      </c>
      <c r="F9" s="16">
        <v>0.0115151184828</v>
      </c>
      <c r="G9" s="16">
        <v>0.002501940742</v>
      </c>
      <c r="H9" s="16">
        <v>0.018645021215</v>
      </c>
      <c r="I9" s="16">
        <v>0.002501940742</v>
      </c>
      <c r="J9" s="16">
        <v>0.002501940742</v>
      </c>
      <c r="K9" s="16">
        <v>0.0091999947225</v>
      </c>
      <c r="L9" s="16">
        <v>4.336808689942018E-19</v>
      </c>
      <c r="M9" s="16">
        <v>0.007087343060303062</v>
      </c>
      <c r="N9" s="16">
        <v>3.991366383527959E-5</v>
      </c>
      <c r="O9" s="16">
        <v>4.336808689942018E-19</v>
      </c>
      <c r="P9" s="16">
        <v>0.007043756313566902</v>
      </c>
      <c r="Q9" s="15">
        <v>0.007254201461000001</v>
      </c>
      <c r="R9" s="15">
        <v>0.0196945493085</v>
      </c>
      <c r="S9" s="15">
        <v>0.007438232438700001</v>
      </c>
      <c r="T9" s="15">
        <v>0.007254201461000001</v>
      </c>
      <c r="U9" s="15">
        <v>0.02306996280265</v>
      </c>
      <c r="V9" s="15">
        <v>0.007254201461</v>
      </c>
      <c r="W9" s="15">
        <v>0.02029608268</v>
      </c>
      <c r="X9" s="15">
        <v>0.007274881365</v>
      </c>
      <c r="Y9" s="15">
        <v>0.007254201461</v>
      </c>
      <c r="Z9" s="15">
        <v>0.02141392598</v>
      </c>
      <c r="AA9" s="15">
        <v>8.673617379884035E-19</v>
      </c>
      <c r="AB9" s="16">
        <v>0.004110585316020268</v>
      </c>
      <c r="AC9" s="16">
        <v>4.613459290097403E-4</v>
      </c>
      <c r="AD9" s="16">
        <v>8.673617379884035E-19</v>
      </c>
      <c r="AE9" s="16">
        <v>0.01148255485528139</v>
      </c>
      <c r="AG9" s="16">
        <v>0.7109706024</v>
      </c>
      <c r="AH9" s="16">
        <v>0.7060272521</v>
      </c>
      <c r="AI9" s="16">
        <v>0.1082476357</v>
      </c>
      <c r="AJ9" s="16">
        <v>0.5938701313</v>
      </c>
      <c r="AK9" s="16">
        <v>0.593226089</v>
      </c>
      <c r="AL9" s="16">
        <v>0.1209030055</v>
      </c>
    </row>
    <row r="10">
      <c r="A10" s="14" t="s">
        <v>22</v>
      </c>
      <c r="B10" s="15">
        <v>0.009685983845400002</v>
      </c>
      <c r="C10" s="16">
        <v>0.049524033056</v>
      </c>
      <c r="D10" s="16">
        <v>0.0267089196695</v>
      </c>
      <c r="E10" s="16">
        <v>0.0216357884015</v>
      </c>
      <c r="F10" s="16">
        <v>0.131971236906</v>
      </c>
      <c r="G10" s="16">
        <v>0.0094854607355</v>
      </c>
      <c r="H10" s="16">
        <v>0.04979724349</v>
      </c>
      <c r="I10" s="16">
        <v>0.030675355735</v>
      </c>
      <c r="J10" s="16">
        <v>0.02129832234</v>
      </c>
      <c r="K10" s="16">
        <v>0.13442557315</v>
      </c>
      <c r="L10" s="16">
        <v>0.001785284821197829</v>
      </c>
      <c r="M10" s="16">
        <v>0.003030891584697468</v>
      </c>
      <c r="N10" s="16">
        <v>0.007810618614681</v>
      </c>
      <c r="O10" s="16">
        <v>0.003433156093900687</v>
      </c>
      <c r="P10" s="16">
        <v>0.02965567288978544</v>
      </c>
      <c r="Q10" s="15">
        <v>0.04454741749549999</v>
      </c>
      <c r="R10" s="15">
        <v>0.0482428630865</v>
      </c>
      <c r="S10" s="15">
        <v>0.0331457382415</v>
      </c>
      <c r="T10" s="15">
        <v>0.0251473519975</v>
      </c>
      <c r="U10" s="15">
        <v>0.1395922541555</v>
      </c>
      <c r="V10" s="15">
        <v>0.04454490547999999</v>
      </c>
      <c r="W10" s="15">
        <v>0.048160722575</v>
      </c>
      <c r="X10" s="15">
        <v>0.030010984015</v>
      </c>
      <c r="Y10" s="15">
        <v>0.024723016825</v>
      </c>
      <c r="Z10" s="15">
        <v>0.1408251856</v>
      </c>
      <c r="AA10" s="15">
        <v>0.001101054971560871</v>
      </c>
      <c r="AB10" s="16">
        <v>0.001836993376327224</v>
      </c>
      <c r="AC10" s="16">
        <v>0.008508013044117753</v>
      </c>
      <c r="AD10" s="16">
        <v>0.001314500905115788</v>
      </c>
      <c r="AE10" s="16">
        <v>0.01991261670145981</v>
      </c>
      <c r="AG10" s="16">
        <v>0.7061746262</v>
      </c>
      <c r="AH10" s="16">
        <v>0.671169049</v>
      </c>
      <c r="AI10" s="16">
        <v>0.2376008877</v>
      </c>
      <c r="AJ10" s="16">
        <v>0.5933299249</v>
      </c>
      <c r="AK10" s="16">
        <v>0.5820512894</v>
      </c>
      <c r="AL10" s="16">
        <v>0.2521717334</v>
      </c>
    </row>
    <row r="11">
      <c r="A11" s="14" t="s">
        <v>23</v>
      </c>
      <c r="B11" s="15">
        <v>0.0161713989395</v>
      </c>
      <c r="C11" s="16">
        <v>0.049850216722</v>
      </c>
      <c r="D11" s="16">
        <v>0.0296449279395</v>
      </c>
      <c r="E11" s="16">
        <v>0.0245916546535</v>
      </c>
      <c r="F11" s="16">
        <v>0.1277130279495</v>
      </c>
      <c r="G11" s="16">
        <v>0.01578582785</v>
      </c>
      <c r="H11" s="16">
        <v>0.05033863843</v>
      </c>
      <c r="I11" s="16">
        <v>0.024099654185</v>
      </c>
      <c r="J11" s="16">
        <v>0.02482980559</v>
      </c>
      <c r="K11" s="16">
        <v>0.12837206825</v>
      </c>
      <c r="L11" s="16">
        <v>0.002050981118514164</v>
      </c>
      <c r="M11" s="16">
        <v>0.002994641142775738</v>
      </c>
      <c r="N11" s="16">
        <v>0.00877148806853162</v>
      </c>
      <c r="O11" s="16">
        <v>0.002097836855136508</v>
      </c>
      <c r="P11" s="16">
        <v>0.02586423831740446</v>
      </c>
      <c r="Q11" s="15">
        <v>0.07335715374250001</v>
      </c>
      <c r="R11" s="15">
        <v>0.0510279189185</v>
      </c>
      <c r="S11" s="15">
        <v>0.0385888148225</v>
      </c>
      <c r="T11" s="15">
        <v>0.0284520450165</v>
      </c>
      <c r="U11" s="15">
        <v>0.1074005643315</v>
      </c>
      <c r="V11" s="15">
        <v>0.072975063805</v>
      </c>
      <c r="W11" s="15">
        <v>0.05131368452</v>
      </c>
      <c r="X11" s="15">
        <v>0.042258562565</v>
      </c>
      <c r="Y11" s="15">
        <v>0.02867873884</v>
      </c>
      <c r="Z11" s="15">
        <v>0.1076698347</v>
      </c>
      <c r="AA11" s="15">
        <v>0.001290633372775272</v>
      </c>
      <c r="AB11" s="16">
        <v>0.001561436615046342</v>
      </c>
      <c r="AC11" s="16">
        <v>0.009353136513552686</v>
      </c>
      <c r="AD11" s="16">
        <v>0.001431898788491031</v>
      </c>
      <c r="AE11" s="16">
        <v>0.0213991408063827</v>
      </c>
      <c r="AG11" s="16">
        <v>0.6398525359</v>
      </c>
      <c r="AH11" s="16">
        <v>0.6213912013</v>
      </c>
      <c r="AI11" s="16">
        <v>0.2006653842</v>
      </c>
      <c r="AJ11" s="16">
        <v>0.6107005459</v>
      </c>
      <c r="AK11" s="16">
        <v>0.6042373634</v>
      </c>
      <c r="AL11" s="16">
        <v>0.1408801302</v>
      </c>
    </row>
    <row r="12">
      <c r="A12" s="14" t="s">
        <v>24</v>
      </c>
      <c r="B12" s="15">
        <v>0.00666210619635</v>
      </c>
      <c r="C12" s="16">
        <v>0.04885676255350001</v>
      </c>
      <c r="D12" s="16">
        <v>0.01872776370075</v>
      </c>
      <c r="E12" s="16">
        <v>0.0165993089885</v>
      </c>
      <c r="F12" s="16">
        <v>0.116527683927</v>
      </c>
      <c r="G12" s="16">
        <v>0.00616062396</v>
      </c>
      <c r="H12" s="16">
        <v>0.049136427055</v>
      </c>
      <c r="I12" s="16">
        <v>0.0128360536</v>
      </c>
      <c r="J12" s="16">
        <v>0.01629094181</v>
      </c>
      <c r="K12" s="16">
        <v>0.1111825463</v>
      </c>
      <c r="L12" s="16">
        <v>0.001702330472173752</v>
      </c>
      <c r="M12" s="16">
        <v>0.001581959226462314</v>
      </c>
      <c r="N12" s="16">
        <v>0.01213698264581512</v>
      </c>
      <c r="O12" s="16">
        <v>0.002586961708349418</v>
      </c>
      <c r="P12" s="16">
        <v>0.0229784725121958</v>
      </c>
      <c r="Q12" s="15">
        <v>0.0401816028365</v>
      </c>
      <c r="R12" s="15">
        <v>0.0452435693115</v>
      </c>
      <c r="S12" s="15">
        <v>0.022683510916</v>
      </c>
      <c r="T12" s="15">
        <v>0.0223538969375</v>
      </c>
      <c r="U12" s="15">
        <v>0.129931825318</v>
      </c>
      <c r="V12" s="15">
        <v>0.039320001845</v>
      </c>
      <c r="W12" s="15">
        <v>0.04585207338</v>
      </c>
      <c r="X12" s="15">
        <v>0.021379448595</v>
      </c>
      <c r="Y12" s="15">
        <v>0.022954301215</v>
      </c>
      <c r="Z12" s="15">
        <v>0.13472616275</v>
      </c>
      <c r="AA12" s="15">
        <v>0.002594909717959849</v>
      </c>
      <c r="AB12" s="16">
        <v>0.004443873851674873</v>
      </c>
      <c r="AC12" s="16">
        <v>0.006134858712687067</v>
      </c>
      <c r="AD12" s="16">
        <v>0.003104894030806599</v>
      </c>
      <c r="AE12" s="16">
        <v>0.02872613467894336</v>
      </c>
      <c r="AG12" s="16">
        <v>0.6950592862</v>
      </c>
      <c r="AH12" s="16">
        <v>0.6522369779</v>
      </c>
      <c r="AI12" s="16">
        <v>0.2129273806</v>
      </c>
      <c r="AJ12" s="16">
        <v>0.6135463841</v>
      </c>
      <c r="AK12" s="16">
        <v>0.5758925853</v>
      </c>
      <c r="AL12" s="16">
        <v>0.2029189662</v>
      </c>
    </row>
    <row r="13">
      <c r="A13" s="14" t="s">
        <v>25</v>
      </c>
      <c r="B13" s="15">
        <v>0.08284847193599999</v>
      </c>
      <c r="C13" s="16">
        <v>0.057188522469</v>
      </c>
      <c r="D13" s="16">
        <v>0.0273443496035</v>
      </c>
      <c r="E13" s="16">
        <v>0.02556824236</v>
      </c>
      <c r="F13" s="16">
        <v>0.1446128163915</v>
      </c>
      <c r="G13" s="16">
        <v>0.08274378976999999</v>
      </c>
      <c r="H13" s="16">
        <v>0.056984764145</v>
      </c>
      <c r="I13" s="16">
        <v>0.021274376035</v>
      </c>
      <c r="J13" s="16">
        <v>0.025795113415</v>
      </c>
      <c r="K13" s="16">
        <v>0.15387672485</v>
      </c>
      <c r="L13" s="16">
        <v>0.002798927419062362</v>
      </c>
      <c r="M13" s="16">
        <v>0.004493466499583334</v>
      </c>
      <c r="N13" s="16">
        <v>0.01052817177991474</v>
      </c>
      <c r="O13" s="16">
        <v>0.00357729431602612</v>
      </c>
      <c r="P13" s="16">
        <v>0.04660205452907895</v>
      </c>
      <c r="Q13" s="15">
        <v>0.102560240355</v>
      </c>
      <c r="R13" s="15">
        <v>0.0465105036925</v>
      </c>
      <c r="S13" s="15">
        <v>0.0249558995325</v>
      </c>
      <c r="T13" s="15">
        <v>0.019651066706</v>
      </c>
      <c r="U13" s="15">
        <v>0.122816581016</v>
      </c>
      <c r="V13" s="15">
        <v>0.10269207215</v>
      </c>
      <c r="W13" s="15">
        <v>0.046728696375</v>
      </c>
      <c r="X13" s="15">
        <v>0.02680369486</v>
      </c>
      <c r="Y13" s="15">
        <v>0.01994268064</v>
      </c>
      <c r="Z13" s="15">
        <v>0.11818914805</v>
      </c>
      <c r="AA13" s="15">
        <v>6.904398798777354E-4</v>
      </c>
      <c r="AB13" s="16">
        <v>0.002279202768064518</v>
      </c>
      <c r="AC13" s="16">
        <v>0.01004821009926562</v>
      </c>
      <c r="AD13" s="16">
        <v>0.002843722068008361</v>
      </c>
      <c r="AE13" s="16">
        <v>0.04611869653422643</v>
      </c>
      <c r="AG13" s="16">
        <v>0.7454058416</v>
      </c>
      <c r="AH13" s="16">
        <v>0.7165652907</v>
      </c>
      <c r="AI13" s="16">
        <v>0.2758838846</v>
      </c>
      <c r="AJ13" s="16">
        <v>0.7362323343</v>
      </c>
      <c r="AK13" s="16">
        <v>0.6891518352</v>
      </c>
      <c r="AL13" s="16">
        <v>0.2791232295</v>
      </c>
    </row>
    <row r="14">
      <c r="A14" s="14" t="s">
        <v>26</v>
      </c>
      <c r="B14" s="15">
        <v>0.054182673143</v>
      </c>
      <c r="C14" s="16">
        <v>0.05762373313349999</v>
      </c>
      <c r="D14" s="16">
        <v>0.028736712393</v>
      </c>
      <c r="E14" s="16">
        <v>0.0196016823655</v>
      </c>
      <c r="F14" s="16">
        <v>0.115322760487</v>
      </c>
      <c r="G14" s="16">
        <v>0.054237718625</v>
      </c>
      <c r="H14" s="16">
        <v>0.0573019707</v>
      </c>
      <c r="I14" s="16">
        <v>0.021862572675</v>
      </c>
      <c r="J14" s="16">
        <v>0.020471149865</v>
      </c>
      <c r="K14" s="16">
        <v>0.1129873965</v>
      </c>
      <c r="L14" s="16">
        <v>9.546281382752713E-4</v>
      </c>
      <c r="M14" s="16">
        <v>0.002548068023432546</v>
      </c>
      <c r="N14" s="16">
        <v>0.01447206158044177</v>
      </c>
      <c r="O14" s="16">
        <v>0.002497776922175007</v>
      </c>
      <c r="P14" s="16">
        <v>0.02382150316480636</v>
      </c>
      <c r="Q14" s="15">
        <v>0.0683312934265</v>
      </c>
      <c r="R14" s="15">
        <v>0.049643557246</v>
      </c>
      <c r="S14" s="15">
        <v>0.02247003109565</v>
      </c>
      <c r="T14" s="15">
        <v>0.0181893338475</v>
      </c>
      <c r="U14" s="15">
        <v>0.09923773258650001</v>
      </c>
      <c r="V14" s="15">
        <v>0.068243309915</v>
      </c>
      <c r="W14" s="15">
        <v>0.04919824185</v>
      </c>
      <c r="X14" s="15">
        <v>0.019329736975</v>
      </c>
      <c r="Y14" s="15">
        <v>0.018335793145</v>
      </c>
      <c r="Z14" s="15">
        <v>0.09831949995</v>
      </c>
      <c r="AA14" s="15">
        <v>0.001702810957832188</v>
      </c>
      <c r="AB14" s="16">
        <v>0.003004766941778307</v>
      </c>
      <c r="AC14" s="16">
        <v>0.01099772848617423</v>
      </c>
      <c r="AD14" s="16">
        <v>0.002017135756289675</v>
      </c>
      <c r="AE14" s="16">
        <v>0.0280544027156973</v>
      </c>
      <c r="AG14" s="16">
        <v>0.6558317668</v>
      </c>
      <c r="AH14" s="16">
        <v>0.5968378349</v>
      </c>
      <c r="AI14" s="16">
        <v>0.2551992225</v>
      </c>
      <c r="AJ14" s="16">
        <v>0.6216631954</v>
      </c>
      <c r="AK14" s="16">
        <v>0.6164824347</v>
      </c>
      <c r="AL14" s="16">
        <v>0.2396560405</v>
      </c>
    </row>
    <row r="15">
      <c r="A15" s="14" t="s">
        <v>27</v>
      </c>
      <c r="B15" s="15">
        <v>0.07764344427699998</v>
      </c>
      <c r="C15" s="16">
        <v>0.046917556763</v>
      </c>
      <c r="D15" s="16">
        <v>0.01998551588105</v>
      </c>
      <c r="E15" s="16">
        <v>0.017743894265</v>
      </c>
      <c r="F15" s="16">
        <v>0.0854331238105</v>
      </c>
      <c r="G15" s="16">
        <v>0.076783880085</v>
      </c>
      <c r="H15" s="16">
        <v>0.04750699894</v>
      </c>
      <c r="I15" s="16">
        <v>0.017779915905</v>
      </c>
      <c r="J15" s="16">
        <v>0.017509884365</v>
      </c>
      <c r="K15" s="16">
        <v>0.080015691605</v>
      </c>
      <c r="L15" s="16">
        <v>0.002109043708130369</v>
      </c>
      <c r="M15" s="16">
        <v>0.003529225699643719</v>
      </c>
      <c r="N15" s="16">
        <v>0.01028514373466017</v>
      </c>
      <c r="O15" s="16">
        <v>0.003386452512101369</v>
      </c>
      <c r="P15" s="16">
        <v>0.03623289199777259</v>
      </c>
      <c r="Q15" s="15">
        <v>0.0666967322235</v>
      </c>
      <c r="R15" s="15">
        <v>0.0565795228785</v>
      </c>
      <c r="S15" s="15">
        <v>0.01872380863955</v>
      </c>
      <c r="T15" s="15">
        <v>0.0209552957975</v>
      </c>
      <c r="U15" s="15">
        <v>0.08411001348</v>
      </c>
      <c r="V15" s="15">
        <v>0.06591235527</v>
      </c>
      <c r="W15" s="15">
        <v>0.05578603629499999</v>
      </c>
      <c r="X15" s="15">
        <v>0.01352973198</v>
      </c>
      <c r="Y15" s="15">
        <v>0.022685217445</v>
      </c>
      <c r="Z15" s="15">
        <v>0.07661797747499999</v>
      </c>
      <c r="AA15" s="15">
        <v>0.003081833615663554</v>
      </c>
      <c r="AB15" s="16">
        <v>0.003558596331179558</v>
      </c>
      <c r="AC15" s="16">
        <v>0.01230099767391104</v>
      </c>
      <c r="AD15" s="16">
        <v>0.004184870389240861</v>
      </c>
      <c r="AE15" s="16">
        <v>0.04757204690406766</v>
      </c>
      <c r="AG15" s="16">
        <v>0.6997063757</v>
      </c>
      <c r="AH15" s="16">
        <v>0.6947099464</v>
      </c>
      <c r="AI15" s="16">
        <v>0.2817022063</v>
      </c>
      <c r="AJ15" s="16">
        <v>0.6970853122</v>
      </c>
      <c r="AK15" s="16">
        <v>0.6888307053</v>
      </c>
      <c r="AL15" s="16">
        <v>0.2829222782</v>
      </c>
    </row>
    <row r="16">
      <c r="A16" s="14" t="s">
        <v>28</v>
      </c>
      <c r="B16" s="15">
        <v>0.0797331904265</v>
      </c>
      <c r="C16" s="16">
        <v>0.1041891723945</v>
      </c>
      <c r="D16" s="16">
        <v>0.0596385286705</v>
      </c>
      <c r="E16" s="16">
        <v>0.0590367748355</v>
      </c>
      <c r="F16" s="16">
        <v>0.1759285343955</v>
      </c>
      <c r="G16" s="16">
        <v>0.077307555475</v>
      </c>
      <c r="H16" s="16">
        <v>0.1033953487</v>
      </c>
      <c r="I16" s="16">
        <v>0.06071141229</v>
      </c>
      <c r="J16" s="16">
        <v>0.05975434322500001</v>
      </c>
      <c r="K16" s="16">
        <v>0.1639955142</v>
      </c>
      <c r="L16" s="16">
        <v>0.01210606429863047</v>
      </c>
      <c r="M16" s="16">
        <v>0.004040865496986594</v>
      </c>
      <c r="N16" s="16">
        <v>0.00902511758997791</v>
      </c>
      <c r="O16" s="16">
        <v>0.004557178600952463</v>
      </c>
      <c r="P16" s="16">
        <v>0.04246015018348722</v>
      </c>
      <c r="Q16" s="15">
        <v>0.0564592277235</v>
      </c>
      <c r="R16" s="15">
        <v>0.072135640523</v>
      </c>
      <c r="S16" s="15">
        <v>0.039803531149</v>
      </c>
      <c r="T16" s="15">
        <v>0.040856097248</v>
      </c>
      <c r="U16" s="15">
        <v>0.15624527395</v>
      </c>
      <c r="V16" s="15">
        <v>0.05602534908</v>
      </c>
      <c r="W16" s="15">
        <v>0.07186647868</v>
      </c>
      <c r="X16" s="15">
        <v>0.038593084675</v>
      </c>
      <c r="Y16" s="15">
        <v>0.040337691785</v>
      </c>
      <c r="Z16" s="15">
        <v>0.15783955785</v>
      </c>
      <c r="AA16" s="15">
        <v>0.005143877809837652</v>
      </c>
      <c r="AB16" s="16">
        <v>0.004036985221350309</v>
      </c>
      <c r="AC16" s="16">
        <v>0.009543131982246255</v>
      </c>
      <c r="AD16" s="16">
        <v>0.002962934831327291</v>
      </c>
      <c r="AE16" s="16">
        <v>0.01791278795762163</v>
      </c>
      <c r="AG16" s="16">
        <v>0.6626411548</v>
      </c>
      <c r="AH16" s="16">
        <v>0.6523762817</v>
      </c>
      <c r="AI16" s="16">
        <v>0.2120298014</v>
      </c>
      <c r="AJ16" s="16">
        <v>0.6710216758</v>
      </c>
      <c r="AK16" s="16">
        <v>0.6036805512</v>
      </c>
      <c r="AL16" s="16">
        <v>0.264283014</v>
      </c>
    </row>
    <row r="17">
      <c r="A17" s="14" t="s">
        <v>29</v>
      </c>
      <c r="B17" s="15">
        <v>0.071893367876</v>
      </c>
      <c r="C17" s="16">
        <v>0.0898755339835</v>
      </c>
      <c r="D17" s="16">
        <v>0.05154787155600001</v>
      </c>
      <c r="E17" s="16">
        <v>0.052043120263</v>
      </c>
      <c r="F17" s="16">
        <v>0.1707908204405</v>
      </c>
      <c r="G17" s="16">
        <v>0.071698257085</v>
      </c>
      <c r="H17" s="16">
        <v>0.08994576084</v>
      </c>
      <c r="I17" s="16">
        <v>0.05348100759</v>
      </c>
      <c r="J17" s="16">
        <v>0.05102348808</v>
      </c>
      <c r="K17" s="16">
        <v>0.15735075035</v>
      </c>
      <c r="L17" s="16">
        <v>0.004368670395643614</v>
      </c>
      <c r="M17" s="16">
        <v>0.005655010313461217</v>
      </c>
      <c r="N17" s="16">
        <v>0.01197942530807688</v>
      </c>
      <c r="O17" s="16">
        <v>0.00461768019542256</v>
      </c>
      <c r="P17" s="16">
        <v>0.04054284471540884</v>
      </c>
      <c r="Q17" s="15">
        <v>0.064805352234</v>
      </c>
      <c r="R17" s="15">
        <v>0.06875295386599999</v>
      </c>
      <c r="S17" s="15">
        <v>0.039040351061</v>
      </c>
      <c r="T17" s="15">
        <v>0.035915843519</v>
      </c>
      <c r="U17" s="15">
        <v>0.152792425045</v>
      </c>
      <c r="V17" s="15">
        <v>0.06500783928500001</v>
      </c>
      <c r="W17" s="15">
        <v>0.069414193295</v>
      </c>
      <c r="X17" s="15">
        <v>0.039366316305</v>
      </c>
      <c r="Y17" s="15">
        <v>0.03683499039</v>
      </c>
      <c r="Z17" s="15">
        <v>0.1601000014</v>
      </c>
      <c r="AA17" s="15">
        <v>0.004186997159821727</v>
      </c>
      <c r="AB17" s="16">
        <v>0.004265982396542806</v>
      </c>
      <c r="AC17" s="16">
        <v>0.008513169455360561</v>
      </c>
      <c r="AD17" s="16">
        <v>0.004354751488224261</v>
      </c>
      <c r="AE17" s="16">
        <v>0.03786676086367358</v>
      </c>
      <c r="AG17" s="16">
        <v>0.6988241671</v>
      </c>
      <c r="AH17" s="16">
        <v>0.6764030821</v>
      </c>
      <c r="AI17" s="16">
        <v>0.1990332286</v>
      </c>
      <c r="AJ17" s="16">
        <v>0.6982627237</v>
      </c>
      <c r="AK17" s="16">
        <v>0.6896917516</v>
      </c>
      <c r="AL17" s="16">
        <v>0.2753407845</v>
      </c>
    </row>
    <row r="18">
      <c r="A18" s="14" t="s">
        <v>30</v>
      </c>
      <c r="B18" s="15">
        <v>0.0357959666625</v>
      </c>
      <c r="C18" s="16">
        <v>0.08384005587600002</v>
      </c>
      <c r="D18" s="16">
        <v>0.05283053733550001</v>
      </c>
      <c r="E18" s="16">
        <v>0.04995262126900001</v>
      </c>
      <c r="F18" s="16">
        <v>0.16797256586</v>
      </c>
      <c r="G18" s="16">
        <v>0.035402079405</v>
      </c>
      <c r="H18" s="16">
        <v>0.08419376083</v>
      </c>
      <c r="I18" s="16">
        <v>0.052932833225</v>
      </c>
      <c r="J18" s="16">
        <v>0.049782444395</v>
      </c>
      <c r="K18" s="16">
        <v>0.17030899345</v>
      </c>
      <c r="L18" s="16">
        <v>0.007134942910356371</v>
      </c>
      <c r="M18" s="16">
        <v>0.003759803215511392</v>
      </c>
      <c r="N18" s="16">
        <v>0.01095071094924372</v>
      </c>
      <c r="O18" s="16">
        <v>0.002469459100469048</v>
      </c>
      <c r="P18" s="16">
        <v>0.02974434659778675</v>
      </c>
      <c r="Q18" s="15">
        <v>0.0639831718705</v>
      </c>
      <c r="R18" s="15">
        <v>0.06510482816350001</v>
      </c>
      <c r="S18" s="15">
        <v>0.042739655783</v>
      </c>
      <c r="T18" s="15">
        <v>0.037290573871</v>
      </c>
      <c r="U18" s="15">
        <v>0.1440528738695</v>
      </c>
      <c r="V18" s="15">
        <v>0.064510774865</v>
      </c>
      <c r="W18" s="15">
        <v>0.06434454219499999</v>
      </c>
      <c r="X18" s="15">
        <v>0.04098253954</v>
      </c>
      <c r="Y18" s="15">
        <v>0.03689581548</v>
      </c>
      <c r="Z18" s="15">
        <v>0.13988254155</v>
      </c>
      <c r="AA18" s="15">
        <v>0.00537399068545201</v>
      </c>
      <c r="AB18" s="16">
        <v>0.004557408226895919</v>
      </c>
      <c r="AC18" s="16">
        <v>0.007441170292237939</v>
      </c>
      <c r="AD18" s="16">
        <v>0.002189072227882649</v>
      </c>
      <c r="AE18" s="16">
        <v>0.03266319864294914</v>
      </c>
      <c r="AG18" s="16">
        <v>0.6369926272</v>
      </c>
      <c r="AH18" s="16">
        <v>0.6129547112</v>
      </c>
      <c r="AI18" s="16">
        <v>0.2027080139</v>
      </c>
      <c r="AJ18" s="16">
        <v>0.5989679603</v>
      </c>
      <c r="AK18" s="16">
        <v>0.5845833213</v>
      </c>
      <c r="AL18" s="16">
        <v>0.1745976862</v>
      </c>
    </row>
    <row r="19">
      <c r="A19" s="14" t="s">
        <v>31</v>
      </c>
      <c r="B19" s="15">
        <v>0.0680799956145</v>
      </c>
      <c r="C19" s="16">
        <v>0.07647388849</v>
      </c>
      <c r="D19" s="16">
        <v>0.048966278034</v>
      </c>
      <c r="E19" s="16">
        <v>0.042196741417</v>
      </c>
      <c r="F19" s="16">
        <v>0.180547539295</v>
      </c>
      <c r="G19" s="16">
        <v>0.06731424847</v>
      </c>
      <c r="H19" s="16">
        <v>0.075898356705</v>
      </c>
      <c r="I19" s="16">
        <v>0.050938685325</v>
      </c>
      <c r="J19" s="16">
        <v>0.04184374743</v>
      </c>
      <c r="K19" s="16">
        <v>0.17872228435</v>
      </c>
      <c r="L19" s="16">
        <v>0.005701127829452431</v>
      </c>
      <c r="M19" s="16">
        <v>0.003394539302816745</v>
      </c>
      <c r="N19" s="16">
        <v>0.007835383615198553</v>
      </c>
      <c r="O19" s="16">
        <v>0.002683262203825827</v>
      </c>
      <c r="P19" s="16">
        <v>0.02990994061565896</v>
      </c>
      <c r="Q19" s="15">
        <v>0.05091919688050001</v>
      </c>
      <c r="R19" s="15">
        <v>0.07483331064149999</v>
      </c>
      <c r="S19" s="15">
        <v>0.030764771037</v>
      </c>
      <c r="T19" s="15">
        <v>0.03789162434800001</v>
      </c>
      <c r="U19" s="15">
        <v>0.1493593840895</v>
      </c>
      <c r="V19" s="15">
        <v>0.051610238775</v>
      </c>
      <c r="W19" s="15">
        <v>0.07534367598</v>
      </c>
      <c r="X19" s="15">
        <v>0.03173398301</v>
      </c>
      <c r="Y19" s="15">
        <v>0.03752359327</v>
      </c>
      <c r="Z19" s="15">
        <v>0.1427409037</v>
      </c>
      <c r="AA19" s="15">
        <v>0.01002631128115725</v>
      </c>
      <c r="AB19" s="16">
        <v>0.00451626887217522</v>
      </c>
      <c r="AC19" s="16">
        <v>0.00776145126743596</v>
      </c>
      <c r="AD19" s="16">
        <v>0.004917514586135941</v>
      </c>
      <c r="AE19" s="16">
        <v>0.03081483130500508</v>
      </c>
      <c r="AG19" s="16">
        <v>0.7571763866</v>
      </c>
      <c r="AH19" s="16">
        <v>0.7007281098</v>
      </c>
      <c r="AI19" s="16">
        <v>0.2548586091</v>
      </c>
      <c r="AJ19" s="16">
        <v>0.6702056917</v>
      </c>
      <c r="AK19" s="16">
        <v>0.6391220646</v>
      </c>
      <c r="AL19" s="16">
        <v>0.2172196725</v>
      </c>
    </row>
    <row r="20">
      <c r="A20" s="14" t="s">
        <v>32</v>
      </c>
      <c r="B20" s="15">
        <v>0.0725589338055</v>
      </c>
      <c r="C20" s="16">
        <v>0.09415987601399999</v>
      </c>
      <c r="D20" s="16">
        <v>0.0445305632255</v>
      </c>
      <c r="E20" s="16">
        <v>0.05294951430450001</v>
      </c>
      <c r="F20" s="16">
        <v>0.1443558040085</v>
      </c>
      <c r="G20" s="16">
        <v>0.072757905025</v>
      </c>
      <c r="H20" s="16">
        <v>0.094280527405</v>
      </c>
      <c r="I20" s="16">
        <v>0.042382916935</v>
      </c>
      <c r="J20" s="16">
        <v>0.05339060771</v>
      </c>
      <c r="K20" s="16">
        <v>0.14651839665</v>
      </c>
      <c r="L20" s="16">
        <v>0.008292383346463122</v>
      </c>
      <c r="M20" s="16">
        <v>0.005186841348348777</v>
      </c>
      <c r="N20" s="16">
        <v>0.01445615686480088</v>
      </c>
      <c r="O20" s="16">
        <v>0.005309672077927832</v>
      </c>
      <c r="P20" s="16">
        <v>0.04589756376761781</v>
      </c>
      <c r="Q20" s="15">
        <v>0.0303697390035</v>
      </c>
      <c r="R20" s="15">
        <v>0.080309159273</v>
      </c>
      <c r="S20" s="15">
        <v>0.0467178676065</v>
      </c>
      <c r="T20" s="15">
        <v>0.044422032436</v>
      </c>
      <c r="U20" s="15">
        <v>0.162412559445</v>
      </c>
      <c r="V20" s="15">
        <v>0.02654683386</v>
      </c>
      <c r="W20" s="15">
        <v>0.08111822484</v>
      </c>
      <c r="X20" s="15">
        <v>0.048955143255</v>
      </c>
      <c r="Y20" s="15">
        <v>0.04463586829500001</v>
      </c>
      <c r="Z20" s="15">
        <v>0.16997714225</v>
      </c>
      <c r="AA20" s="15">
        <v>0.009442728987634702</v>
      </c>
      <c r="AB20" s="16">
        <v>0.005321474538823791</v>
      </c>
      <c r="AC20" s="16">
        <v>0.01108496454948226</v>
      </c>
      <c r="AD20" s="16">
        <v>0.004207532791506632</v>
      </c>
      <c r="AE20" s="16">
        <v>0.03000727267013511</v>
      </c>
      <c r="AG20" s="16">
        <v>0.5717631544</v>
      </c>
      <c r="AH20" s="16">
        <v>0.536199612</v>
      </c>
      <c r="AI20" s="16">
        <v>0.1933468289</v>
      </c>
      <c r="AJ20" s="16">
        <v>0.6648265594</v>
      </c>
      <c r="AK20" s="16">
        <v>0.6536095102</v>
      </c>
      <c r="AL20" s="16">
        <v>0.2692905693</v>
      </c>
    </row>
    <row r="21">
      <c r="A21" s="14" t="s">
        <v>33</v>
      </c>
      <c r="B21" s="15">
        <v>0.05970188007700002</v>
      </c>
      <c r="C21" s="16">
        <v>0.099388938219</v>
      </c>
      <c r="D21" s="16">
        <v>0.05242966550599999</v>
      </c>
      <c r="E21" s="16">
        <v>0.05425473686100001</v>
      </c>
      <c r="F21" s="16">
        <v>0.15500728485</v>
      </c>
      <c r="G21" s="16">
        <v>0.057677577305</v>
      </c>
      <c r="H21" s="16">
        <v>0.10060213565</v>
      </c>
      <c r="I21" s="16">
        <v>0.050530198535</v>
      </c>
      <c r="J21" s="16">
        <v>0.05398530279</v>
      </c>
      <c r="K21" s="16">
        <v>0.15421998895</v>
      </c>
      <c r="L21" s="16">
        <v>0.007163524682959036</v>
      </c>
      <c r="M21" s="16">
        <v>0.005811938159442852</v>
      </c>
      <c r="N21" s="16">
        <v>0.01122072349281695</v>
      </c>
      <c r="O21" s="16">
        <v>0.005656657005282683</v>
      </c>
      <c r="P21" s="16">
        <v>0.0227950663200001</v>
      </c>
      <c r="Q21" s="15">
        <v>0.053544939351</v>
      </c>
      <c r="R21" s="15">
        <v>0.0802964951605</v>
      </c>
      <c r="S21" s="15">
        <v>0.040333405058</v>
      </c>
      <c r="T21" s="15">
        <v>0.04093032389200001</v>
      </c>
      <c r="U21" s="15">
        <v>0.180713992015</v>
      </c>
      <c r="V21" s="15">
        <v>0.05364277354499999</v>
      </c>
      <c r="W21" s="15">
        <v>0.08021215529</v>
      </c>
      <c r="X21" s="15">
        <v>0.042609422305</v>
      </c>
      <c r="Y21" s="15">
        <v>0.04150135203</v>
      </c>
      <c r="Z21" s="15">
        <v>0.1762906806</v>
      </c>
      <c r="AA21" s="15">
        <v>0.005996558263125304</v>
      </c>
      <c r="AB21" s="16">
        <v>0.005762254372759326</v>
      </c>
      <c r="AC21" s="16">
        <v>0.008869423526171618</v>
      </c>
      <c r="AD21" s="16">
        <v>0.004378235022011414</v>
      </c>
      <c r="AE21" s="16">
        <v>0.02652417246881276</v>
      </c>
      <c r="AG21" s="16">
        <v>0.7056942816</v>
      </c>
      <c r="AH21" s="16">
        <v>0.6966495534</v>
      </c>
      <c r="AI21" s="16">
        <v>0.2845453475</v>
      </c>
      <c r="AJ21" s="16">
        <v>0.6819935242</v>
      </c>
      <c r="AK21" s="16">
        <v>0.6382884626</v>
      </c>
      <c r="AL21" s="16">
        <v>0.2885071934</v>
      </c>
    </row>
    <row r="22">
      <c r="A22" s="14" t="s">
        <v>34</v>
      </c>
      <c r="B22" s="15">
        <v>0.168771070175</v>
      </c>
      <c r="C22" s="16">
        <v>0.158288949145</v>
      </c>
      <c r="D22" s="16">
        <v>0.0968857590065</v>
      </c>
      <c r="E22" s="16">
        <v>0.109737529124</v>
      </c>
      <c r="F22" s="16">
        <v>0.24032974311</v>
      </c>
      <c r="G22" s="16">
        <v>0.1697780914</v>
      </c>
      <c r="H22" s="16">
        <v>0.15904123995</v>
      </c>
      <c r="I22" s="16">
        <v>0.09762156360999999</v>
      </c>
      <c r="J22" s="16">
        <v>0.10996494385</v>
      </c>
      <c r="K22" s="16">
        <v>0.2346889009</v>
      </c>
      <c r="L22" s="16">
        <v>0.006690652989540789</v>
      </c>
      <c r="M22" s="16">
        <v>0.00496762268815506</v>
      </c>
      <c r="N22" s="16">
        <v>0.01080128194997</v>
      </c>
      <c r="O22" s="16">
        <v>0.007412564900956881</v>
      </c>
      <c r="P22" s="16">
        <v>0.01863170278868596</v>
      </c>
      <c r="Q22" s="15">
        <v>0.1274816779935</v>
      </c>
      <c r="R22" s="15">
        <v>0.16047760371</v>
      </c>
      <c r="S22" s="15">
        <v>0.09816244002300001</v>
      </c>
      <c r="T22" s="15">
        <v>0.11505450261</v>
      </c>
      <c r="U22" s="15">
        <v>0.25040412066</v>
      </c>
      <c r="V22" s="15">
        <v>0.12963222435</v>
      </c>
      <c r="W22" s="15">
        <v>0.1600870284</v>
      </c>
      <c r="X22" s="15">
        <v>0.0999628712</v>
      </c>
      <c r="Y22" s="15">
        <v>0.11464128115</v>
      </c>
      <c r="Z22" s="15">
        <v>0.2502343811</v>
      </c>
      <c r="AA22" s="15">
        <v>0.01428721898389156</v>
      </c>
      <c r="AB22" s="16">
        <v>0.005323780588648141</v>
      </c>
      <c r="AC22" s="16">
        <v>0.01213456131791387</v>
      </c>
      <c r="AD22" s="16">
        <v>0.004842845222410947</v>
      </c>
      <c r="AE22" s="16">
        <v>0.023958088575893</v>
      </c>
      <c r="AG22" s="16">
        <v>0.5432756876</v>
      </c>
      <c r="AH22" s="16">
        <v>0.4593009573</v>
      </c>
      <c r="AI22" s="16">
        <v>0.1558248963</v>
      </c>
      <c r="AJ22" s="16">
        <v>0.6089061794</v>
      </c>
      <c r="AK22" s="16">
        <v>0.5503990328</v>
      </c>
      <c r="AL22" s="16">
        <v>0.1793904465</v>
      </c>
    </row>
    <row r="23">
      <c r="A23" s="14" t="s">
        <v>35</v>
      </c>
      <c r="B23" s="15">
        <v>0.1604223216</v>
      </c>
      <c r="C23" s="16">
        <v>0.159588673355</v>
      </c>
      <c r="D23" s="16">
        <v>0.09081680094649999</v>
      </c>
      <c r="E23" s="16">
        <v>0.111569175787</v>
      </c>
      <c r="F23" s="16">
        <v>0.233386919865</v>
      </c>
      <c r="G23" s="16">
        <v>0.16084978255</v>
      </c>
      <c r="H23" s="16">
        <v>0.16094993555</v>
      </c>
      <c r="I23" s="16">
        <v>0.093572051495</v>
      </c>
      <c r="J23" s="16">
        <v>0.1114321088</v>
      </c>
      <c r="K23" s="16">
        <v>0.23206132585</v>
      </c>
      <c r="L23" s="16">
        <v>0.008464715169858231</v>
      </c>
      <c r="M23" s="16">
        <v>0.005918786082949165</v>
      </c>
      <c r="N23" s="16">
        <v>0.01217135224859819</v>
      </c>
      <c r="O23" s="16">
        <v>0.006500907149705632</v>
      </c>
      <c r="P23" s="16">
        <v>0.02216136317324786</v>
      </c>
      <c r="Q23" s="15">
        <v>0.13563210186</v>
      </c>
      <c r="R23" s="15">
        <v>0.17777838804</v>
      </c>
      <c r="S23" s="15">
        <v>0.111033797639</v>
      </c>
      <c r="T23" s="15">
        <v>0.128211849865</v>
      </c>
      <c r="U23" s="15">
        <v>0.278637076615</v>
      </c>
      <c r="V23" s="15">
        <v>0.14178268445</v>
      </c>
      <c r="W23" s="15">
        <v>0.1812372372</v>
      </c>
      <c r="X23" s="15">
        <v>0.1117214829</v>
      </c>
      <c r="Y23" s="15">
        <v>0.13083162675</v>
      </c>
      <c r="Z23" s="15">
        <v>0.271337109</v>
      </c>
      <c r="AA23" s="15">
        <v>0.01613456379316426</v>
      </c>
      <c r="AB23" s="16">
        <v>0.008078261282147593</v>
      </c>
      <c r="AC23" s="16">
        <v>0.01147328199691482</v>
      </c>
      <c r="AD23" s="16">
        <v>0.005596492131478923</v>
      </c>
      <c r="AE23" s="16">
        <v>0.03094098271957053</v>
      </c>
      <c r="AG23" s="16">
        <v>0.5299279581</v>
      </c>
      <c r="AH23" s="16">
        <v>0.4859344837</v>
      </c>
      <c r="AI23" s="16">
        <v>0.1432760163</v>
      </c>
      <c r="AJ23" s="16">
        <v>0.5887594441</v>
      </c>
      <c r="AK23" s="16">
        <v>0.5657029961</v>
      </c>
      <c r="AL23" s="16">
        <v>0.1634888336</v>
      </c>
    </row>
    <row r="24">
      <c r="A24" s="14" t="s">
        <v>36</v>
      </c>
      <c r="B24" s="15">
        <v>0.1521038211</v>
      </c>
      <c r="C24" s="16">
        <v>0.15748661616</v>
      </c>
      <c r="D24" s="16">
        <v>0.09671845199049998</v>
      </c>
      <c r="E24" s="16">
        <v>0.111273644465</v>
      </c>
      <c r="F24" s="16">
        <v>0.241524887045</v>
      </c>
      <c r="G24" s="16">
        <v>0.1543651061</v>
      </c>
      <c r="H24" s="16">
        <v>0.15835017395</v>
      </c>
      <c r="I24" s="16">
        <v>0.09834166861499999</v>
      </c>
      <c r="J24" s="16">
        <v>0.1121128762</v>
      </c>
      <c r="K24" s="16">
        <v>0.23828871285</v>
      </c>
      <c r="L24" s="16">
        <v>0.01193448330359467</v>
      </c>
      <c r="M24" s="16">
        <v>0.004876198287434553</v>
      </c>
      <c r="N24" s="16">
        <v>0.01312345549215297</v>
      </c>
      <c r="O24" s="16">
        <v>0.005462751841880436</v>
      </c>
      <c r="P24" s="16">
        <v>0.02243893321719621</v>
      </c>
      <c r="Q24" s="15">
        <v>0.1324663706895</v>
      </c>
      <c r="R24" s="15">
        <v>0.145541457765</v>
      </c>
      <c r="S24" s="15">
        <v>0.09233772825450001</v>
      </c>
      <c r="T24" s="15">
        <v>0.102273275561</v>
      </c>
      <c r="U24" s="15">
        <v>0.22950630392</v>
      </c>
      <c r="V24" s="15">
        <v>0.1331288634</v>
      </c>
      <c r="W24" s="15">
        <v>0.1456664684</v>
      </c>
      <c r="X24" s="15">
        <v>0.09401879301</v>
      </c>
      <c r="Y24" s="15">
        <v>0.1030141599</v>
      </c>
      <c r="Z24" s="15">
        <v>0.22840924515</v>
      </c>
      <c r="AA24" s="15">
        <v>0.01841153721243356</v>
      </c>
      <c r="AB24" s="16">
        <v>0.008651623004901117</v>
      </c>
      <c r="AC24" s="16">
        <v>0.01179156432877211</v>
      </c>
      <c r="AD24" s="16">
        <v>0.005210365975734718</v>
      </c>
      <c r="AE24" s="16">
        <v>0.02220453381287883</v>
      </c>
      <c r="AG24" s="16">
        <v>0.5923256569</v>
      </c>
      <c r="AH24" s="16">
        <v>0.5466405184</v>
      </c>
      <c r="AI24" s="16">
        <v>0.1400199304</v>
      </c>
      <c r="AJ24" s="16">
        <v>0.5868716131</v>
      </c>
      <c r="AK24" s="16">
        <v>0.5545614573</v>
      </c>
      <c r="AL24" s="16">
        <v>0.1177836016</v>
      </c>
    </row>
    <row r="25">
      <c r="A25" s="14" t="s">
        <v>37</v>
      </c>
      <c r="B25" s="15">
        <v>0.157085057935</v>
      </c>
      <c r="C25" s="16">
        <v>0.176140524505</v>
      </c>
      <c r="D25" s="16">
        <v>0.1028161955505</v>
      </c>
      <c r="E25" s="16">
        <v>0.12141738256</v>
      </c>
      <c r="F25" s="16">
        <v>0.24254113827</v>
      </c>
      <c r="G25" s="16">
        <v>0.16085592755</v>
      </c>
      <c r="H25" s="16">
        <v>0.17523932465</v>
      </c>
      <c r="I25" s="16">
        <v>0.1033953449</v>
      </c>
      <c r="J25" s="16">
        <v>0.1231357079</v>
      </c>
      <c r="K25" s="16">
        <v>0.2386472533</v>
      </c>
      <c r="L25" s="16">
        <v>0.01225017056446835</v>
      </c>
      <c r="M25" s="16">
        <v>0.005943652281107385</v>
      </c>
      <c r="N25" s="16">
        <v>0.01234900946598565</v>
      </c>
      <c r="O25" s="16">
        <v>0.007461690169631905</v>
      </c>
      <c r="P25" s="16">
        <v>0.04177060888493606</v>
      </c>
      <c r="Q25" s="15">
        <v>0.16983079603</v>
      </c>
      <c r="R25" s="15">
        <v>0.160126329895</v>
      </c>
      <c r="S25" s="15">
        <v>0.0940336506745</v>
      </c>
      <c r="T25" s="15">
        <v>0.1143842590155</v>
      </c>
      <c r="U25" s="15">
        <v>0.238504922405</v>
      </c>
      <c r="V25" s="15">
        <v>0.17013598415</v>
      </c>
      <c r="W25" s="15">
        <v>0.1614085798</v>
      </c>
      <c r="X25" s="15">
        <v>0.096543188095</v>
      </c>
      <c r="Y25" s="15">
        <v>0.11539414415</v>
      </c>
      <c r="Z25" s="15">
        <v>0.23690177565</v>
      </c>
      <c r="AA25" s="15">
        <v>0.009925746950294547</v>
      </c>
      <c r="AB25" s="16">
        <v>0.008018440685369357</v>
      </c>
      <c r="AC25" s="16">
        <v>0.01212778275547216</v>
      </c>
      <c r="AD25" s="16">
        <v>0.005512974219666252</v>
      </c>
      <c r="AE25" s="16">
        <v>0.02467022037001219</v>
      </c>
      <c r="AG25" s="16">
        <v>0.5930505214</v>
      </c>
      <c r="AH25" s="16">
        <v>0.5118308347</v>
      </c>
      <c r="AI25" s="16">
        <v>0.1978616983</v>
      </c>
      <c r="AJ25" s="16">
        <v>0.5810626134</v>
      </c>
      <c r="AK25" s="16">
        <v>0.5291822215</v>
      </c>
      <c r="AL25" s="16">
        <v>0.1848650002</v>
      </c>
    </row>
    <row r="26">
      <c r="A26" s="14" t="s">
        <v>38</v>
      </c>
      <c r="B26" s="15">
        <v>0.160406451445</v>
      </c>
      <c r="C26" s="16">
        <v>0.16565317918</v>
      </c>
      <c r="D26" s="16">
        <v>0.0964253314775</v>
      </c>
      <c r="E26" s="16">
        <v>0.11527034233</v>
      </c>
      <c r="F26" s="16">
        <v>0.2344084665400001</v>
      </c>
      <c r="G26" s="16">
        <v>0.1597340414</v>
      </c>
      <c r="H26" s="16">
        <v>0.16630075345</v>
      </c>
      <c r="I26" s="16">
        <v>0.10175590395</v>
      </c>
      <c r="J26" s="16">
        <v>0.11640556705</v>
      </c>
      <c r="K26" s="16">
        <v>0.2324306541</v>
      </c>
      <c r="L26" s="16">
        <v>0.009061421331768517</v>
      </c>
      <c r="M26" s="16">
        <v>0.005703951907821728</v>
      </c>
      <c r="N26" s="16">
        <v>0.01684937448141332</v>
      </c>
      <c r="O26" s="16">
        <v>0.006735346713491915</v>
      </c>
      <c r="P26" s="16">
        <v>0.02715928218559363</v>
      </c>
      <c r="Q26" s="15">
        <v>0.15183982001</v>
      </c>
      <c r="R26" s="15">
        <v>0.154533861445</v>
      </c>
      <c r="S26" s="15">
        <v>0.09856959755300002</v>
      </c>
      <c r="T26" s="15">
        <v>0.108246151485</v>
      </c>
      <c r="U26" s="15">
        <v>0.223659215835</v>
      </c>
      <c r="V26" s="15">
        <v>0.1507312906</v>
      </c>
      <c r="W26" s="15">
        <v>0.1546702858</v>
      </c>
      <c r="X26" s="15">
        <v>0.09781974152</v>
      </c>
      <c r="Y26" s="15">
        <v>0.1094245127</v>
      </c>
      <c r="Z26" s="15">
        <v>0.2228022466</v>
      </c>
      <c r="AA26" s="15">
        <v>0.008807359672078643</v>
      </c>
      <c r="AB26" s="16">
        <v>0.007915656882777924</v>
      </c>
      <c r="AC26" s="16">
        <v>0.008351865131574952</v>
      </c>
      <c r="AD26" s="16">
        <v>0.0062127625270988</v>
      </c>
      <c r="AE26" s="16">
        <v>0.03254360458680422</v>
      </c>
      <c r="AG26" s="16">
        <v>0.5709708133</v>
      </c>
      <c r="AH26" s="16">
        <v>0.5158336507</v>
      </c>
      <c r="AI26" s="16">
        <v>0.1761872825</v>
      </c>
      <c r="AJ26" s="16">
        <v>0.6384586681</v>
      </c>
      <c r="AK26" s="16">
        <v>0.589063305</v>
      </c>
      <c r="AL26" s="16">
        <v>0.1927349313</v>
      </c>
    </row>
    <row r="27">
      <c r="A27" s="14" t="s">
        <v>39</v>
      </c>
      <c r="B27" s="15">
        <v>0.168732309465</v>
      </c>
      <c r="C27" s="16">
        <v>0.16050944782</v>
      </c>
      <c r="D27" s="16">
        <v>0.09871029360599999</v>
      </c>
      <c r="E27" s="16">
        <v>0.111211287801</v>
      </c>
      <c r="F27" s="16">
        <v>0.22559767188</v>
      </c>
      <c r="G27" s="16">
        <v>0.16961050525</v>
      </c>
      <c r="H27" s="16">
        <v>0.1624746366</v>
      </c>
      <c r="I27" s="16">
        <v>0.099064343895</v>
      </c>
      <c r="J27" s="16">
        <v>0.1121924878</v>
      </c>
      <c r="K27" s="16">
        <v>0.2263104648</v>
      </c>
      <c r="L27" s="16">
        <v>0.008043595158134327</v>
      </c>
      <c r="M27" s="16">
        <v>0.006365786106061214</v>
      </c>
      <c r="N27" s="16">
        <v>0.00981545501070824</v>
      </c>
      <c r="O27" s="16">
        <v>0.006530380350568558</v>
      </c>
      <c r="P27" s="16">
        <v>0.03211067102731049</v>
      </c>
      <c r="Q27" s="15">
        <v>0.183363811625</v>
      </c>
      <c r="R27" s="15">
        <v>0.16724560497</v>
      </c>
      <c r="S27" s="15">
        <v>0.1047235423625</v>
      </c>
      <c r="T27" s="15">
        <v>0.120219595155</v>
      </c>
      <c r="U27" s="15">
        <v>0.2468009828</v>
      </c>
      <c r="V27" s="15">
        <v>0.18289302705</v>
      </c>
      <c r="W27" s="15">
        <v>0.16715790325</v>
      </c>
      <c r="X27" s="15">
        <v>0.10423931355</v>
      </c>
      <c r="Y27" s="15">
        <v>0.1209880845</v>
      </c>
      <c r="Z27" s="15">
        <v>0.2543923364</v>
      </c>
      <c r="AA27" s="15">
        <v>0.007188239594927906</v>
      </c>
      <c r="AB27" s="16">
        <v>0.007599848842167459</v>
      </c>
      <c r="AC27" s="16">
        <v>0.01105959022514726</v>
      </c>
      <c r="AD27" s="16">
        <v>0.007156563106273062</v>
      </c>
      <c r="AE27" s="16">
        <v>0.03330427792093821</v>
      </c>
      <c r="AG27" s="16">
        <v>0.540247319</v>
      </c>
      <c r="AH27" s="16">
        <v>0.4784378114</v>
      </c>
      <c r="AI27" s="16">
        <v>0.1799579944</v>
      </c>
      <c r="AJ27" s="16">
        <v>0.5670583069</v>
      </c>
      <c r="AK27" s="16">
        <v>0.5128609977</v>
      </c>
      <c r="AL27" s="16">
        <v>0.1842658865</v>
      </c>
    </row>
    <row r="28">
      <c r="A28" s="14" t="s">
        <v>40</v>
      </c>
      <c r="B28" s="15">
        <v>0.240133669765</v>
      </c>
      <c r="C28" s="16">
        <v>0.23544560789</v>
      </c>
      <c r="D28" s="16">
        <v>0.16471009495</v>
      </c>
      <c r="E28" s="16">
        <v>0.19051505615</v>
      </c>
      <c r="F28" s="16">
        <v>0.29146979615</v>
      </c>
      <c r="G28" s="16">
        <v>0.2408439049</v>
      </c>
      <c r="H28" s="16">
        <v>0.23657812325</v>
      </c>
      <c r="I28" s="16">
        <v>0.1651730483</v>
      </c>
      <c r="J28" s="16">
        <v>0.19144848885</v>
      </c>
      <c r="K28" s="16">
        <v>0.2889956381</v>
      </c>
      <c r="L28" s="16">
        <v>0.006844151751428228</v>
      </c>
      <c r="M28" s="16">
        <v>0.006664189312196474</v>
      </c>
      <c r="N28" s="16">
        <v>0.008508505322364137</v>
      </c>
      <c r="O28" s="16">
        <v>0.005617740132657752</v>
      </c>
      <c r="P28" s="16">
        <v>0.01745754588097361</v>
      </c>
      <c r="Q28" s="16">
        <v>0.24508222085</v>
      </c>
      <c r="R28" s="16">
        <v>0.243171289885</v>
      </c>
      <c r="S28" s="16">
        <v>0.17239359443</v>
      </c>
      <c r="T28" s="16">
        <v>0.19863787869</v>
      </c>
      <c r="U28" s="16">
        <v>0.318269958345</v>
      </c>
      <c r="V28" s="16">
        <v>0.2432227781</v>
      </c>
      <c r="W28" s="16">
        <v>0.24222546705</v>
      </c>
      <c r="X28" s="16">
        <v>0.1749894266</v>
      </c>
      <c r="Y28" s="16">
        <v>0.1980273781</v>
      </c>
      <c r="Z28" s="16">
        <v>0.31732012425</v>
      </c>
      <c r="AA28" s="15">
        <v>0.006322767894821826</v>
      </c>
      <c r="AB28" s="16">
        <v>0.005205096101549774</v>
      </c>
      <c r="AC28" s="16">
        <v>0.01127320190958044</v>
      </c>
      <c r="AD28" s="16">
        <v>0.004770242112696795</v>
      </c>
      <c r="AE28" s="16">
        <v>0.01678802623824969</v>
      </c>
      <c r="AG28" s="16">
        <v>0.5025210071</v>
      </c>
      <c r="AH28" s="16">
        <v>0.4561138611</v>
      </c>
      <c r="AI28" s="16">
        <v>0.09642083748</v>
      </c>
      <c r="AJ28" s="16">
        <v>0.4919978604</v>
      </c>
      <c r="AK28" s="16">
        <v>0.4276588852</v>
      </c>
      <c r="AL28" s="16">
        <v>0.08281995645</v>
      </c>
    </row>
    <row r="29">
      <c r="A29" s="14" t="s">
        <v>41</v>
      </c>
      <c r="B29" s="15">
        <v>0.244476995835</v>
      </c>
      <c r="C29" s="16">
        <v>0.2439511511</v>
      </c>
      <c r="D29" s="16">
        <v>0.168819347965</v>
      </c>
      <c r="E29" s="16">
        <v>0.197531128875</v>
      </c>
      <c r="F29" s="16">
        <v>0.300053500695</v>
      </c>
      <c r="G29" s="16">
        <v>0.2462442123</v>
      </c>
      <c r="H29" s="16">
        <v>0.2437865907</v>
      </c>
      <c r="I29" s="16">
        <v>0.16824881625</v>
      </c>
      <c r="J29" s="16">
        <v>0.1985239629</v>
      </c>
      <c r="K29" s="16">
        <v>0.30111743545</v>
      </c>
      <c r="L29" s="16">
        <v>0.006524603665557821</v>
      </c>
      <c r="M29" s="16">
        <v>0.003978445022933649</v>
      </c>
      <c r="N29" s="16">
        <v>0.01022712833966923</v>
      </c>
      <c r="O29" s="16">
        <v>0.00669330187506179</v>
      </c>
      <c r="P29" s="16">
        <v>0.01926423897877366</v>
      </c>
      <c r="Q29" s="16">
        <v>0.247948453995</v>
      </c>
      <c r="R29" s="16">
        <v>0.235803322795</v>
      </c>
      <c r="S29" s="16">
        <v>0.166922721125</v>
      </c>
      <c r="T29" s="16">
        <v>0.19221200807</v>
      </c>
      <c r="U29" s="16">
        <v>0.294307552035</v>
      </c>
      <c r="V29" s="16">
        <v>0.2480101929</v>
      </c>
      <c r="W29" s="16">
        <v>0.23606283575</v>
      </c>
      <c r="X29" s="16">
        <v>0.16541765035</v>
      </c>
      <c r="Y29" s="16">
        <v>0.1925979621</v>
      </c>
      <c r="Z29" s="16">
        <v>0.29507801905</v>
      </c>
      <c r="AA29" s="15">
        <v>0.005386960037713925</v>
      </c>
      <c r="AB29" s="16">
        <v>0.005158990654879236</v>
      </c>
      <c r="AC29" s="16">
        <v>0.009308202463207205</v>
      </c>
      <c r="AD29" s="16">
        <v>0.005988349227572407</v>
      </c>
      <c r="AE29" s="16">
        <v>0.01670407637099124</v>
      </c>
      <c r="AG29" s="16">
        <v>0.5146588241</v>
      </c>
      <c r="AH29" s="16">
        <v>0.4543159095</v>
      </c>
      <c r="AI29" s="16">
        <v>0.09554944711</v>
      </c>
      <c r="AJ29" s="16">
        <v>0.4711363236</v>
      </c>
      <c r="AK29" s="16">
        <v>0.4127820287</v>
      </c>
      <c r="AL29" s="16">
        <v>0.09508998045</v>
      </c>
    </row>
    <row r="30">
      <c r="A30" s="14" t="s">
        <v>42</v>
      </c>
      <c r="B30" s="15">
        <v>0.261818770655</v>
      </c>
      <c r="C30" s="16">
        <v>0.25336479083</v>
      </c>
      <c r="D30" s="16">
        <v>0.17704771777</v>
      </c>
      <c r="E30" s="16">
        <v>0.21093374645</v>
      </c>
      <c r="F30" s="16">
        <v>0.31319559481</v>
      </c>
      <c r="G30" s="16">
        <v>0.26060203545</v>
      </c>
      <c r="H30" s="16">
        <v>0.25229281185</v>
      </c>
      <c r="I30" s="16">
        <v>0.1774827386</v>
      </c>
      <c r="J30" s="16">
        <v>0.21257940055</v>
      </c>
      <c r="K30" s="16">
        <v>0.3164305716</v>
      </c>
      <c r="L30" s="16">
        <v>0.007947163431802459</v>
      </c>
      <c r="M30" s="16">
        <v>0.004563202504959789</v>
      </c>
      <c r="N30" s="16">
        <v>0.0115550155682107</v>
      </c>
      <c r="O30" s="16">
        <v>0.004965733993642849</v>
      </c>
      <c r="P30" s="16">
        <v>0.01726659079817981</v>
      </c>
      <c r="Q30" s="16">
        <v>0.21682200074</v>
      </c>
      <c r="R30" s="16">
        <v>0.21686638851</v>
      </c>
      <c r="S30" s="16">
        <v>0.14291989816</v>
      </c>
      <c r="T30" s="16">
        <v>0.17382539917</v>
      </c>
      <c r="U30" s="16">
        <v>0.2788690527650001</v>
      </c>
      <c r="V30" s="16">
        <v>0.2186114509</v>
      </c>
      <c r="W30" s="16">
        <v>0.2178644044</v>
      </c>
      <c r="X30" s="16">
        <v>0.14335590255</v>
      </c>
      <c r="Y30" s="16">
        <v>0.173855549</v>
      </c>
      <c r="Z30" s="16">
        <v>0.2766651608</v>
      </c>
      <c r="AA30" s="15">
        <v>0.007726685411642076</v>
      </c>
      <c r="AB30" s="16">
        <v>0.004689724312634987</v>
      </c>
      <c r="AC30" s="16">
        <v>0.01007545465113776</v>
      </c>
      <c r="AD30" s="16">
        <v>0.004937244576707154</v>
      </c>
      <c r="AE30" s="16">
        <v>0.01476870877839516</v>
      </c>
      <c r="AG30" s="16">
        <v>0.4685146576</v>
      </c>
      <c r="AH30" s="16">
        <v>0.401168557</v>
      </c>
      <c r="AI30" s="16">
        <v>0.7575181677</v>
      </c>
      <c r="AJ30" s="16">
        <v>0.4643040306</v>
      </c>
      <c r="AK30" s="16">
        <v>0.3967184921</v>
      </c>
      <c r="AL30" s="16">
        <v>0.09912293295</v>
      </c>
    </row>
    <row r="31">
      <c r="A31" s="14" t="s">
        <v>43</v>
      </c>
      <c r="B31" s="15">
        <v>0.24395115128</v>
      </c>
      <c r="C31" s="16">
        <v>0.23124103504</v>
      </c>
      <c r="D31" s="16">
        <v>0.17073359493</v>
      </c>
      <c r="E31" s="16">
        <v>0.19500898455</v>
      </c>
      <c r="F31" s="16">
        <v>0.295323196975</v>
      </c>
      <c r="G31" s="16">
        <v>0.2430008243</v>
      </c>
      <c r="H31" s="16">
        <v>0.23162475945</v>
      </c>
      <c r="I31" s="16">
        <v>0.1725985468</v>
      </c>
      <c r="J31" s="16">
        <v>0.19554090425</v>
      </c>
      <c r="K31" s="16">
        <v>0.2969859074</v>
      </c>
      <c r="L31" s="16">
        <v>0.008721400846587676</v>
      </c>
      <c r="M31" s="16">
        <v>0.006266317676462544</v>
      </c>
      <c r="N31" s="16">
        <v>0.01420748134367942</v>
      </c>
      <c r="O31" s="16">
        <v>0.005065123424042767</v>
      </c>
      <c r="P31" s="16">
        <v>0.01464337918375571</v>
      </c>
      <c r="Q31" s="16">
        <v>0.23904493175</v>
      </c>
      <c r="R31" s="16">
        <v>0.24691228954</v>
      </c>
      <c r="S31" s="16">
        <v>0.182002030345</v>
      </c>
      <c r="T31" s="16">
        <v>0.20446653965</v>
      </c>
      <c r="U31" s="16">
        <v>0.297804856455</v>
      </c>
      <c r="V31" s="16">
        <v>0.2402825163</v>
      </c>
      <c r="W31" s="16">
        <v>0.2471971294</v>
      </c>
      <c r="X31" s="16">
        <v>0.18195284495</v>
      </c>
      <c r="Y31" s="16">
        <v>0.20547678395</v>
      </c>
      <c r="Z31" s="16">
        <v>0.30055501265</v>
      </c>
      <c r="AA31" s="15">
        <v>0.007368516161267885</v>
      </c>
      <c r="AB31" s="16">
        <v>0.003713172927749605</v>
      </c>
      <c r="AC31" s="16">
        <v>0.008727663542858175</v>
      </c>
      <c r="AD31" s="16">
        <v>0.004848764016822441</v>
      </c>
      <c r="AE31" s="16">
        <v>0.01563231552423816</v>
      </c>
      <c r="AG31" s="16">
        <v>0.4367855236</v>
      </c>
      <c r="AH31" s="16">
        <v>0.3812104541</v>
      </c>
      <c r="AI31" s="16">
        <v>0.2680452276</v>
      </c>
      <c r="AJ31" s="16">
        <v>0.432044402</v>
      </c>
      <c r="AK31" s="16">
        <v>0.3669020244</v>
      </c>
      <c r="AL31" s="16">
        <v>0.1065279525</v>
      </c>
    </row>
    <row r="32">
      <c r="A32" s="14" t="s">
        <v>44</v>
      </c>
      <c r="B32" s="15">
        <v>0.23518722199</v>
      </c>
      <c r="C32" s="16">
        <v>0.248134414665</v>
      </c>
      <c r="D32" s="16">
        <v>0.181461280825</v>
      </c>
      <c r="E32" s="16">
        <v>0.20387595583</v>
      </c>
      <c r="F32" s="16">
        <v>0.29755245719</v>
      </c>
      <c r="G32" s="16">
        <v>0.2355037699</v>
      </c>
      <c r="H32" s="16">
        <v>0.2479005666</v>
      </c>
      <c r="I32" s="16">
        <v>0.181487111</v>
      </c>
      <c r="J32" s="16">
        <v>0.20523848025</v>
      </c>
      <c r="K32" s="16">
        <v>0.2971073357</v>
      </c>
      <c r="L32" s="16">
        <v>0.006869823669946099</v>
      </c>
      <c r="M32" s="16">
        <v>0.002915873437809293</v>
      </c>
      <c r="N32" s="16">
        <v>0.009077317240630217</v>
      </c>
      <c r="O32" s="16">
        <v>0.005550384830148195</v>
      </c>
      <c r="P32" s="16">
        <v>0.0186414124809472</v>
      </c>
      <c r="Q32" s="16">
        <v>0.252890750315</v>
      </c>
      <c r="R32" s="16">
        <v>0.249765824035</v>
      </c>
      <c r="S32" s="16">
        <v>0.18081453242</v>
      </c>
      <c r="T32" s="16">
        <v>0.20618384237</v>
      </c>
      <c r="U32" s="16">
        <v>0.320701612335</v>
      </c>
      <c r="V32" s="16">
        <v>0.25311097105</v>
      </c>
      <c r="W32" s="16">
        <v>0.24794000565</v>
      </c>
      <c r="X32" s="16">
        <v>0.1839319485</v>
      </c>
      <c r="Y32" s="16">
        <v>0.2055719227</v>
      </c>
      <c r="Z32" s="16">
        <v>0.3248074164</v>
      </c>
      <c r="AA32" s="15">
        <v>0.007474663271155358</v>
      </c>
      <c r="AB32" s="16">
        <v>0.004472671071491683</v>
      </c>
      <c r="AC32" s="16">
        <v>0.01257027959214059</v>
      </c>
      <c r="AD32" s="16">
        <v>0.005601723980913612</v>
      </c>
      <c r="AE32" s="16">
        <v>0.02211484775653969</v>
      </c>
      <c r="AG32" s="16">
        <v>0.4533541756</v>
      </c>
      <c r="AH32" s="16">
        <v>0.3848155477</v>
      </c>
      <c r="AI32" s="16">
        <v>0.1027015044</v>
      </c>
      <c r="AJ32" s="16">
        <v>0.434821227</v>
      </c>
      <c r="AK32" s="16">
        <v>0.3686593344</v>
      </c>
      <c r="AL32" s="16">
        <v>0.09719693359</v>
      </c>
    </row>
    <row r="33">
      <c r="A33" s="14" t="s">
        <v>45</v>
      </c>
      <c r="B33" s="15">
        <v>0.25974614041</v>
      </c>
      <c r="C33" s="16">
        <v>0.252470764165</v>
      </c>
      <c r="D33" s="16">
        <v>0.183259059705</v>
      </c>
      <c r="E33" s="16">
        <v>0.210146635445</v>
      </c>
      <c r="F33" s="16">
        <v>0.313795887825</v>
      </c>
      <c r="G33" s="16">
        <v>0.25626956515</v>
      </c>
      <c r="H33" s="16">
        <v>0.2537938785</v>
      </c>
      <c r="I33" s="16">
        <v>0.18450167635</v>
      </c>
      <c r="J33" s="16">
        <v>0.2102642448</v>
      </c>
      <c r="K33" s="16">
        <v>0.3172186823</v>
      </c>
      <c r="L33" s="16">
        <v>0.00909841608661274</v>
      </c>
      <c r="M33" s="16">
        <v>0.005950049061013094</v>
      </c>
      <c r="N33" s="16">
        <v>0.0102404544870201</v>
      </c>
      <c r="O33" s="16">
        <v>0.005399514959647581</v>
      </c>
      <c r="P33" s="16">
        <v>0.01485793971165128</v>
      </c>
      <c r="Q33" s="16">
        <v>0.240751186415</v>
      </c>
      <c r="R33" s="16">
        <v>0.238278386015</v>
      </c>
      <c r="S33" s="16">
        <v>0.166354184785</v>
      </c>
      <c r="T33" s="16">
        <v>0.19614128465</v>
      </c>
      <c r="U33" s="16">
        <v>0.301718718765</v>
      </c>
      <c r="V33" s="16">
        <v>0.2411449243</v>
      </c>
      <c r="W33" s="16">
        <v>0.2374957487</v>
      </c>
      <c r="X33" s="16">
        <v>0.1695855217</v>
      </c>
      <c r="Y33" s="16">
        <v>0.19660911925</v>
      </c>
      <c r="Z33" s="16">
        <v>0.3001184189</v>
      </c>
      <c r="AA33" s="15">
        <v>0.007493532162008429</v>
      </c>
      <c r="AB33" s="16">
        <v>0.00485190697532295</v>
      </c>
      <c r="AC33" s="16">
        <v>0.01063771835365472</v>
      </c>
      <c r="AD33" s="16">
        <v>0.005893326903008423</v>
      </c>
      <c r="AE33" s="16">
        <v>0.02071571558009783</v>
      </c>
      <c r="AG33" s="16">
        <v>0.4980120135</v>
      </c>
      <c r="AH33" s="16">
        <v>0.4381823713</v>
      </c>
      <c r="AI33" s="16">
        <v>0.5511813988</v>
      </c>
      <c r="AJ33" s="16">
        <v>0.431907329</v>
      </c>
      <c r="AK33" s="16">
        <v>0.3576943847</v>
      </c>
      <c r="AL33" s="16">
        <v>0.1096504128</v>
      </c>
    </row>
    <row r="34">
      <c r="A34" s="14" t="s">
        <v>46</v>
      </c>
      <c r="B34" s="15">
        <v>0.264215182825</v>
      </c>
      <c r="C34" s="16">
        <v>0.266878860465</v>
      </c>
      <c r="D34" s="16">
        <v>0.2121397135</v>
      </c>
      <c r="E34" s="16">
        <v>0.23333242246</v>
      </c>
      <c r="F34" s="16">
        <v>0.316054860385</v>
      </c>
      <c r="G34" s="16">
        <v>0.2632959733</v>
      </c>
      <c r="H34" s="16">
        <v>0.26665290055</v>
      </c>
      <c r="I34" s="16">
        <v>0.21269721455</v>
      </c>
      <c r="J34" s="16">
        <v>0.23361132095</v>
      </c>
      <c r="K34" s="16">
        <v>0.3182366428</v>
      </c>
      <c r="L34" s="16">
        <v>0.00496016084149313</v>
      </c>
      <c r="M34" s="16">
        <v>0.004787619306481794</v>
      </c>
      <c r="N34" s="16">
        <v>0.006271690642990664</v>
      </c>
      <c r="O34" s="16">
        <v>0.006595905480159572</v>
      </c>
      <c r="P34" s="16">
        <v>0.006518267502561227</v>
      </c>
      <c r="Q34" s="16">
        <v>0.25431735636</v>
      </c>
      <c r="R34" s="16">
        <v>0.250776511295</v>
      </c>
      <c r="S34" s="16">
        <v>0.1942506063</v>
      </c>
      <c r="T34" s="16">
        <v>0.218795834635</v>
      </c>
      <c r="U34" s="16">
        <v>0.30239430287</v>
      </c>
      <c r="V34" s="16">
        <v>0.25483561315</v>
      </c>
      <c r="W34" s="16">
        <v>0.25093567315</v>
      </c>
      <c r="X34" s="16">
        <v>0.1954076266</v>
      </c>
      <c r="Y34" s="16">
        <v>0.2183469814</v>
      </c>
      <c r="Z34" s="16">
        <v>0.30461206585</v>
      </c>
      <c r="AA34" s="15">
        <v>0.005807363227388689</v>
      </c>
      <c r="AB34" s="16">
        <v>0.004232308144589567</v>
      </c>
      <c r="AC34" s="16">
        <v>0.006003074267469244</v>
      </c>
      <c r="AD34" s="16">
        <v>0.004828304602388856</v>
      </c>
      <c r="AE34" s="16">
        <v>0.01241178367723161</v>
      </c>
      <c r="AG34" s="16">
        <v>0.4081863611</v>
      </c>
      <c r="AH34" s="16">
        <v>0.3552088445</v>
      </c>
      <c r="AI34" s="16">
        <v>0.7347029187</v>
      </c>
      <c r="AJ34" s="16">
        <v>0.3768073771</v>
      </c>
      <c r="AK34" s="16">
        <v>0.3173235931</v>
      </c>
      <c r="AL34" s="16">
        <v>0.7124141419</v>
      </c>
    </row>
    <row r="35">
      <c r="A35" s="14" t="s">
        <v>47</v>
      </c>
      <c r="B35" s="15">
        <v>0.24692728487</v>
      </c>
      <c r="C35" s="16">
        <v>0.253143693045</v>
      </c>
      <c r="D35" s="16">
        <v>0.196900613895</v>
      </c>
      <c r="E35" s="16">
        <v>0.220924952415</v>
      </c>
      <c r="F35" s="16">
        <v>0.294239607145</v>
      </c>
      <c r="G35" s="16">
        <v>0.24734835635</v>
      </c>
      <c r="H35" s="16">
        <v>0.25239346185</v>
      </c>
      <c r="I35" s="16">
        <v>0.19615477345</v>
      </c>
      <c r="J35" s="16">
        <v>0.22132779545</v>
      </c>
      <c r="K35" s="16">
        <v>0.2933825122</v>
      </c>
      <c r="L35" s="16">
        <v>0.006828678391305284</v>
      </c>
      <c r="M35" s="16">
        <v>0.003793633665232571</v>
      </c>
      <c r="N35" s="16">
        <v>0.00970136054513026</v>
      </c>
      <c r="O35" s="16">
        <v>0.004209324734282912</v>
      </c>
      <c r="P35" s="16">
        <v>0.01063703658655411</v>
      </c>
      <c r="Q35" s="16">
        <v>0.13822821842</v>
      </c>
      <c r="R35" s="16">
        <v>0.13805042748</v>
      </c>
      <c r="S35" s="16">
        <v>0.07637757436699999</v>
      </c>
      <c r="T35" s="16">
        <v>0.103725511329</v>
      </c>
      <c r="U35" s="16">
        <v>0.18360814245</v>
      </c>
      <c r="V35" s="16">
        <v>0.1383009987</v>
      </c>
      <c r="W35" s="16">
        <v>0.1385926006</v>
      </c>
      <c r="X35" s="16">
        <v>0.07397128008500001</v>
      </c>
      <c r="Y35" s="16">
        <v>0.10510076095</v>
      </c>
      <c r="Z35" s="16">
        <v>0.18463342965</v>
      </c>
      <c r="AA35" s="15">
        <v>0.004770456204087977</v>
      </c>
      <c r="AB35" s="16">
        <v>0.003213398906214394</v>
      </c>
      <c r="AC35" s="16">
        <v>0.008444482851296134</v>
      </c>
      <c r="AD35" s="16">
        <v>0.004119273698322296</v>
      </c>
      <c r="AE35" s="16">
        <v>0.009767356538857876</v>
      </c>
      <c r="AG35" s="17" t="s">
        <v>53</v>
      </c>
      <c r="AH35" s="17" t="s">
        <v>53</v>
      </c>
      <c r="AI35" s="16">
        <v>0.6018618009</v>
      </c>
      <c r="AJ35" s="16">
        <v>0.4055102189</v>
      </c>
      <c r="AK35" s="16">
        <v>0.3508232325</v>
      </c>
      <c r="AL35" s="16">
        <v>0.6890506533</v>
      </c>
    </row>
    <row r="36">
      <c r="A36" s="14" t="s">
        <v>48</v>
      </c>
      <c r="B36" s="15">
        <v>0.223953563095</v>
      </c>
      <c r="C36" s="16">
        <v>0.23097511011</v>
      </c>
      <c r="D36" s="16">
        <v>0.173751794255</v>
      </c>
      <c r="E36" s="16">
        <v>0.196284516015</v>
      </c>
      <c r="F36" s="16">
        <v>0.272551565085</v>
      </c>
      <c r="G36" s="16">
        <v>0.223510044</v>
      </c>
      <c r="H36" s="16">
        <v>0.2309919721</v>
      </c>
      <c r="I36" s="16">
        <v>0.17124444345</v>
      </c>
      <c r="J36" s="16">
        <v>0.19544617315</v>
      </c>
      <c r="K36" s="16">
        <v>0.27275170325</v>
      </c>
      <c r="L36" s="16">
        <v>0.005822577732539217</v>
      </c>
      <c r="M36" s="16">
        <v>0.003704569421880678</v>
      </c>
      <c r="N36" s="16">
        <v>0.006306495706031797</v>
      </c>
      <c r="O36" s="16">
        <v>0.005927304363814727</v>
      </c>
      <c r="P36" s="16">
        <v>0.0113939176982802</v>
      </c>
      <c r="Q36" s="16">
        <v>0.253252049985</v>
      </c>
      <c r="R36" s="16">
        <v>0.253992040965</v>
      </c>
      <c r="S36" s="16">
        <v>0.1979806678</v>
      </c>
      <c r="T36" s="16">
        <v>0.218578275895</v>
      </c>
      <c r="U36" s="16">
        <v>0.29828903944</v>
      </c>
      <c r="V36" s="16">
        <v>0.25202140125</v>
      </c>
      <c r="W36" s="16">
        <v>0.25429469195</v>
      </c>
      <c r="X36" s="16">
        <v>0.19987490575</v>
      </c>
      <c r="Y36" s="16">
        <v>0.2184962126</v>
      </c>
      <c r="Z36" s="16">
        <v>0.3022037235</v>
      </c>
      <c r="AA36" s="15">
        <v>0.005402803773382872</v>
      </c>
      <c r="AB36" s="16">
        <v>0.005431593528239644</v>
      </c>
      <c r="AC36" s="16">
        <v>0.007807415909327332</v>
      </c>
      <c r="AD36" s="16">
        <v>0.006384425932406409</v>
      </c>
      <c r="AE36" s="16">
        <v>0.01289988350023542</v>
      </c>
      <c r="AG36" s="16">
        <v>0.3868059265</v>
      </c>
      <c r="AH36" s="16">
        <v>0.3364802727</v>
      </c>
      <c r="AI36" s="16">
        <v>0.7640300701</v>
      </c>
      <c r="AJ36" s="16">
        <v>0.4423951269</v>
      </c>
      <c r="AK36" s="16">
        <v>0.4006279674</v>
      </c>
      <c r="AL36" s="16">
        <v>0.6131246678</v>
      </c>
    </row>
    <row r="37">
      <c r="A37" s="14" t="s">
        <v>49</v>
      </c>
      <c r="B37" s="15">
        <v>0.221246348245</v>
      </c>
      <c r="C37" s="16">
        <v>0.225669409575</v>
      </c>
      <c r="D37" s="16">
        <v>0.170960298015</v>
      </c>
      <c r="E37" s="16">
        <v>0.190124515815</v>
      </c>
      <c r="F37" s="16">
        <v>0.274994849165</v>
      </c>
      <c r="G37" s="16">
        <v>0.22180465905</v>
      </c>
      <c r="H37" s="16">
        <v>0.2272002993</v>
      </c>
      <c r="I37" s="16">
        <v>0.169862836</v>
      </c>
      <c r="J37" s="16">
        <v>0.18953873215</v>
      </c>
      <c r="K37" s="16">
        <v>0.2762136076</v>
      </c>
      <c r="L37" s="16">
        <v>0.004266565614866944</v>
      </c>
      <c r="M37" s="16">
        <v>0.004510716835508744</v>
      </c>
      <c r="N37" s="16">
        <v>0.01077194323582526</v>
      </c>
      <c r="O37" s="16">
        <v>0.004335106098419516</v>
      </c>
      <c r="P37" s="16">
        <v>0.009800907411965926</v>
      </c>
      <c r="Q37" s="16">
        <v>0.217159063555</v>
      </c>
      <c r="R37" s="16">
        <v>0.220646286835</v>
      </c>
      <c r="S37" s="16">
        <v>0.16869308448</v>
      </c>
      <c r="T37" s="16">
        <v>0.18563529148</v>
      </c>
      <c r="U37" s="16">
        <v>0.263294223265</v>
      </c>
      <c r="V37" s="16">
        <v>0.21783108355</v>
      </c>
      <c r="W37" s="16">
        <v>0.22036612765</v>
      </c>
      <c r="X37" s="16">
        <v>0.16865050715</v>
      </c>
      <c r="Y37" s="16">
        <v>0.187195227</v>
      </c>
      <c r="Z37" s="16">
        <v>0.26619866315</v>
      </c>
      <c r="AA37" s="15">
        <v>0.006005359412232949</v>
      </c>
      <c r="AB37" s="16">
        <v>0.004251679430232331</v>
      </c>
      <c r="AC37" s="16">
        <v>0.006877664869325915</v>
      </c>
      <c r="AD37" s="16">
        <v>0.004849891644592643</v>
      </c>
      <c r="AE37" s="16">
        <v>0.01234472113959792</v>
      </c>
      <c r="AG37" s="16">
        <v>0.4362829191</v>
      </c>
      <c r="AH37" s="16">
        <v>0.3894659523</v>
      </c>
      <c r="AI37" s="16">
        <v>0.6671851535</v>
      </c>
      <c r="AJ37" s="16">
        <v>0.4721847062</v>
      </c>
      <c r="AK37" s="16">
        <v>0.438864472</v>
      </c>
      <c r="AL37" s="16">
        <v>0.6004761713</v>
      </c>
    </row>
    <row r="38">
      <c r="A38" s="14" t="s">
        <v>50</v>
      </c>
      <c r="B38" s="15">
        <v>0.22442113075</v>
      </c>
      <c r="C38" s="16">
        <v>0.23008836688</v>
      </c>
      <c r="D38" s="16">
        <v>0.175758233655</v>
      </c>
      <c r="E38" s="16">
        <v>0.19542500443</v>
      </c>
      <c r="F38" s="16">
        <v>0.273411910835</v>
      </c>
      <c r="G38" s="16">
        <v>0.22602993935</v>
      </c>
      <c r="H38" s="16">
        <v>0.2297143142</v>
      </c>
      <c r="I38" s="16">
        <v>0.1752814901</v>
      </c>
      <c r="J38" s="16">
        <v>0.19592090065</v>
      </c>
      <c r="K38" s="16">
        <v>0.27419918605</v>
      </c>
      <c r="L38" s="16">
        <v>0.004922891201243887</v>
      </c>
      <c r="M38" s="16">
        <v>0.003465638089354692</v>
      </c>
      <c r="N38" s="16">
        <v>0.009968492915152798</v>
      </c>
      <c r="O38" s="16">
        <v>0.005187147866234439</v>
      </c>
      <c r="P38" s="16">
        <v>0.009779570657070604</v>
      </c>
      <c r="Q38" s="16">
        <v>0.262078688645</v>
      </c>
      <c r="R38" s="16">
        <v>0.257855921075</v>
      </c>
      <c r="S38" s="16">
        <v>0.207241155675</v>
      </c>
      <c r="T38" s="16">
        <v>0.225600502655</v>
      </c>
      <c r="U38" s="16">
        <v>0.3105539893149999</v>
      </c>
      <c r="V38" s="16">
        <v>0.26268509115</v>
      </c>
      <c r="W38" s="16">
        <v>0.26003158105</v>
      </c>
      <c r="X38" s="16">
        <v>0.206057076</v>
      </c>
      <c r="Y38" s="16">
        <v>0.2254258917</v>
      </c>
      <c r="Z38" s="16">
        <v>0.30808171545</v>
      </c>
      <c r="AA38" s="15">
        <v>0.00681081237353733</v>
      </c>
      <c r="AB38" s="16">
        <v>0.005507560203055593</v>
      </c>
      <c r="AC38" s="16">
        <v>0.009161789521750993</v>
      </c>
      <c r="AD38" s="16">
        <v>0.005949786858405116</v>
      </c>
      <c r="AE38" s="16">
        <v>0.01350729056583129</v>
      </c>
      <c r="AG38" s="16">
        <v>0.3768841577</v>
      </c>
      <c r="AH38" s="16">
        <v>0.3570556895</v>
      </c>
      <c r="AI38" s="16">
        <v>0.772288531</v>
      </c>
      <c r="AJ38" s="16">
        <v>0.4545320224</v>
      </c>
      <c r="AK38" s="16">
        <v>0.414741675</v>
      </c>
      <c r="AL38" s="16">
        <v>0.6308084046</v>
      </c>
    </row>
    <row r="39">
      <c r="A39" s="14" t="s">
        <v>51</v>
      </c>
      <c r="B39" s="15">
        <v>0.22810463312</v>
      </c>
      <c r="C39" s="16">
        <v>0.23024407302</v>
      </c>
      <c r="D39" s="16">
        <v>0.17568552926</v>
      </c>
      <c r="E39" s="16">
        <v>0.196170045525</v>
      </c>
      <c r="F39" s="16">
        <v>0.275315278375</v>
      </c>
      <c r="G39" s="16">
        <v>0.2283183211</v>
      </c>
      <c r="H39" s="16">
        <v>0.23138801205</v>
      </c>
      <c r="I39" s="16">
        <v>0.17481729875</v>
      </c>
      <c r="J39" s="16">
        <v>0.19748169175</v>
      </c>
      <c r="K39" s="16">
        <v>0.27393499285</v>
      </c>
      <c r="L39" s="16">
        <v>0.004992660525963724</v>
      </c>
      <c r="M39" s="16">
        <v>0.00394047401248147</v>
      </c>
      <c r="N39" s="16">
        <v>0.008803534595625884</v>
      </c>
      <c r="O39" s="16">
        <v>0.006084985060302604</v>
      </c>
      <c r="P39" s="16">
        <v>0.01078492120778893</v>
      </c>
      <c r="Q39" s="16">
        <v>0.2621579042250001</v>
      </c>
      <c r="R39" s="16">
        <v>0.26254498542</v>
      </c>
      <c r="S39" s="16">
        <v>0.204128383565</v>
      </c>
      <c r="T39" s="16">
        <v>0.23100567953</v>
      </c>
      <c r="U39" s="16">
        <v>0.310845598425</v>
      </c>
      <c r="V39" s="16">
        <v>0.2625508787</v>
      </c>
      <c r="W39" s="16">
        <v>0.2615916226</v>
      </c>
      <c r="X39" s="16">
        <v>0.20475698665</v>
      </c>
      <c r="Y39" s="16">
        <v>0.2312318927</v>
      </c>
      <c r="Z39" s="16">
        <v>0.3117261569</v>
      </c>
      <c r="AA39" s="15">
        <v>0.005957112868542402</v>
      </c>
      <c r="AB39" s="16">
        <v>0.005418955249981783</v>
      </c>
      <c r="AC39" s="16">
        <v>0.009560131230030857</v>
      </c>
      <c r="AD39" s="16">
        <v>0.006887187210025092</v>
      </c>
      <c r="AE39" s="16">
        <v>0.01275424735274619</v>
      </c>
      <c r="AG39" s="16">
        <v>0.391238905</v>
      </c>
      <c r="AH39" s="16">
        <v>0.4615019288</v>
      </c>
      <c r="AI39" s="16">
        <v>0.7901241162</v>
      </c>
      <c r="AJ39" s="16">
        <v>0.4313000786</v>
      </c>
      <c r="AK39" s="16">
        <v>0.409987204</v>
      </c>
      <c r="AL39" s="16">
        <v>0.6610481438</v>
      </c>
    </row>
    <row r="40">
      <c r="A40" s="14" t="s">
        <v>52</v>
      </c>
      <c r="B40" s="15">
        <v>0.190172143735</v>
      </c>
      <c r="C40" s="16">
        <v>0.195471962895</v>
      </c>
      <c r="D40" s="16">
        <v>0.16401131556</v>
      </c>
      <c r="E40" s="16">
        <v>0.171157619625</v>
      </c>
      <c r="F40" s="16">
        <v>0.22790906033</v>
      </c>
      <c r="G40" s="16">
        <v>0.18977763535</v>
      </c>
      <c r="H40" s="16">
        <v>0.19561245025</v>
      </c>
      <c r="I40" s="16">
        <v>0.16331448135</v>
      </c>
      <c r="J40" s="16">
        <v>0.17130282015</v>
      </c>
      <c r="K40" s="16">
        <v>0.2305758364</v>
      </c>
      <c r="L40" s="16">
        <v>0.003283109080516903</v>
      </c>
      <c r="M40" s="16">
        <v>0.002714887004467393</v>
      </c>
      <c r="N40" s="16">
        <v>0.006276211443625828</v>
      </c>
      <c r="O40" s="16">
        <v>0.004037856151944355</v>
      </c>
      <c r="P40" s="16">
        <v>0.006233998118035482</v>
      </c>
      <c r="Q40" s="16">
        <v>0.179939999455</v>
      </c>
      <c r="R40" s="16">
        <v>0.184713404415</v>
      </c>
      <c r="S40" s="16">
        <v>0.150529560565</v>
      </c>
      <c r="T40" s="16">
        <v>0.159179562395</v>
      </c>
      <c r="U40" s="16">
        <v>0.213587038505</v>
      </c>
      <c r="V40" s="16">
        <v>0.17999861195</v>
      </c>
      <c r="W40" s="16">
        <v>0.18436317895</v>
      </c>
      <c r="X40" s="16">
        <v>0.1512749615</v>
      </c>
      <c r="Y40" s="16">
        <v>0.15981919105</v>
      </c>
      <c r="Z40" s="16">
        <v>0.21571889715</v>
      </c>
      <c r="AA40" s="15">
        <v>0.004295891147337979</v>
      </c>
      <c r="AB40" s="16">
        <v>0.001943540547609248</v>
      </c>
      <c r="AC40" s="16">
        <v>0.004192445648458007</v>
      </c>
      <c r="AD40" s="16">
        <v>0.004610409424989118</v>
      </c>
      <c r="AE40" s="16">
        <v>0.006719014303945603</v>
      </c>
      <c r="AG40" s="16">
        <v>0.4235185465</v>
      </c>
      <c r="AH40" s="16">
        <v>0.4206212903</v>
      </c>
      <c r="AI40" s="16">
        <v>0.6022898295</v>
      </c>
      <c r="AJ40" s="16">
        <v>0.4117381722</v>
      </c>
      <c r="AK40" s="16">
        <v>0.3734309495</v>
      </c>
      <c r="AL40" s="16">
        <v>0.604501453</v>
      </c>
    </row>
    <row r="41">
      <c r="A41" s="14" t="s">
        <v>54</v>
      </c>
      <c r="B41" s="15">
        <v>0.188644029885</v>
      </c>
      <c r="C41" s="16">
        <v>0.19458184949</v>
      </c>
      <c r="D41" s="16">
        <v>0.15948813146</v>
      </c>
      <c r="E41" s="16">
        <v>0.167972766665</v>
      </c>
      <c r="F41" s="16">
        <v>0.22531056494</v>
      </c>
      <c r="G41" s="16">
        <v>0.190711836</v>
      </c>
      <c r="H41" s="16">
        <v>0.19473313645</v>
      </c>
      <c r="I41" s="16">
        <v>0.1607164559</v>
      </c>
      <c r="J41" s="16">
        <v>0.16769532115</v>
      </c>
      <c r="K41" s="16">
        <v>0.22629810135</v>
      </c>
      <c r="L41" s="16">
        <v>0.006046646879227095</v>
      </c>
      <c r="M41" s="16">
        <v>0.001626926238344753</v>
      </c>
      <c r="N41" s="16">
        <v>0.007470626328597345</v>
      </c>
      <c r="O41" s="16">
        <v>0.003254267064139886</v>
      </c>
      <c r="P41" s="16">
        <v>0.008534779915152078</v>
      </c>
      <c r="Q41" s="16">
        <v>0.19667944433</v>
      </c>
      <c r="R41" s="16">
        <v>0.20162853373</v>
      </c>
      <c r="S41" s="16">
        <v>0.16931428188</v>
      </c>
      <c r="T41" s="16">
        <v>0.177049922525</v>
      </c>
      <c r="U41" s="16">
        <v>0.232872375695</v>
      </c>
      <c r="V41" s="16">
        <v>0.19622401715</v>
      </c>
      <c r="W41" s="16">
        <v>0.20213695575</v>
      </c>
      <c r="X41" s="16">
        <v>0.1695027266</v>
      </c>
      <c r="Y41" s="16">
        <v>0.1773872003</v>
      </c>
      <c r="Z41" s="16">
        <v>0.23316699835</v>
      </c>
      <c r="AA41" s="15">
        <v>0.003939439279437231</v>
      </c>
      <c r="AB41" s="16">
        <v>0.001994128166865226</v>
      </c>
      <c r="AC41" s="16">
        <v>0.005839804857232195</v>
      </c>
      <c r="AD41" s="16">
        <v>0.003709258395796418</v>
      </c>
      <c r="AE41" s="16">
        <v>0.005183165560894378</v>
      </c>
      <c r="AG41" s="16">
        <v>0.4086054903</v>
      </c>
      <c r="AH41" s="16">
        <v>0.3841039626</v>
      </c>
      <c r="AI41" s="16">
        <v>0.6151834537</v>
      </c>
      <c r="AJ41" s="16">
        <v>0.4317396207</v>
      </c>
      <c r="AK41" s="16">
        <v>0.4053027041</v>
      </c>
      <c r="AL41" s="16">
        <v>0.6000326696</v>
      </c>
    </row>
    <row r="42">
      <c r="A42" s="14" t="s">
        <v>55</v>
      </c>
      <c r="B42" s="15">
        <v>0.198405359115</v>
      </c>
      <c r="C42" s="16">
        <v>0.20390142195</v>
      </c>
      <c r="D42" s="16">
        <v>0.16908464108</v>
      </c>
      <c r="E42" s="16">
        <v>0.179287011695</v>
      </c>
      <c r="F42" s="16">
        <v>0.2340194142949999</v>
      </c>
      <c r="G42" s="16">
        <v>0.19696341255</v>
      </c>
      <c r="H42" s="16">
        <v>0.2038647337</v>
      </c>
      <c r="I42" s="16">
        <v>0.1700709672</v>
      </c>
      <c r="J42" s="16">
        <v>0.1801447991</v>
      </c>
      <c r="K42" s="16">
        <v>0.23370900395</v>
      </c>
      <c r="L42" s="16">
        <v>0.005461002882864149</v>
      </c>
      <c r="M42" s="16">
        <v>0.002129211309585413</v>
      </c>
      <c r="N42" s="16">
        <v>0.007241461335722198</v>
      </c>
      <c r="O42" s="16">
        <v>0.003112149182792021</v>
      </c>
      <c r="P42" s="16">
        <v>0.005947464820670271</v>
      </c>
      <c r="Q42" s="16">
        <v>0.26457333971</v>
      </c>
      <c r="R42" s="16">
        <v>0.26492916254</v>
      </c>
      <c r="S42" s="16">
        <v>0.233914344785</v>
      </c>
      <c r="T42" s="16">
        <v>0.24218539222</v>
      </c>
      <c r="U42" s="16">
        <v>0.29847409783</v>
      </c>
      <c r="V42" s="16">
        <v>0.2644807515</v>
      </c>
      <c r="W42" s="16">
        <v>0.2654615425</v>
      </c>
      <c r="X42" s="16">
        <v>0.23281171</v>
      </c>
      <c r="Y42" s="16">
        <v>0.2423294982</v>
      </c>
      <c r="Z42" s="16">
        <v>0.29672778845</v>
      </c>
      <c r="AA42" s="15">
        <v>0.003900990416222677</v>
      </c>
      <c r="AB42" s="16">
        <v>0.002836839764577057</v>
      </c>
      <c r="AC42" s="16">
        <v>0.007135690395815575</v>
      </c>
      <c r="AD42" s="16">
        <v>0.004624438815597765</v>
      </c>
      <c r="AE42" s="16">
        <v>0.007130858234439499</v>
      </c>
      <c r="AG42" s="16">
        <v>0.3290707169</v>
      </c>
      <c r="AH42" s="16">
        <v>0.2878371924</v>
      </c>
      <c r="AI42" s="16">
        <v>0.7314378737</v>
      </c>
      <c r="AJ42" s="16">
        <v>0.4147225203</v>
      </c>
      <c r="AK42" s="16">
        <v>0.3823160764</v>
      </c>
      <c r="AL42" s="16">
        <v>0.6048193062</v>
      </c>
    </row>
    <row r="43">
      <c r="A43" s="14" t="s">
        <v>56</v>
      </c>
      <c r="B43" s="15">
        <v>0.193930932935</v>
      </c>
      <c r="C43" s="16">
        <v>0.20179823877</v>
      </c>
      <c r="D43" s="16">
        <v>0.171860712065</v>
      </c>
      <c r="E43" s="16">
        <v>0.175184844335</v>
      </c>
      <c r="F43" s="16">
        <v>0.233834722395</v>
      </c>
      <c r="G43" s="16">
        <v>0.1946828916</v>
      </c>
      <c r="H43" s="16">
        <v>0.2017469416</v>
      </c>
      <c r="I43" s="16">
        <v>0.17351747235</v>
      </c>
      <c r="J43" s="16">
        <v>0.17544744145</v>
      </c>
      <c r="K43" s="16">
        <v>0.23391312105</v>
      </c>
      <c r="L43" s="16">
        <v>0.005205126999190918</v>
      </c>
      <c r="M43" s="16">
        <v>0.002272840846439923</v>
      </c>
      <c r="N43" s="16">
        <v>0.006521613018077722</v>
      </c>
      <c r="O43" s="16">
        <v>0.004053593752790912</v>
      </c>
      <c r="P43" s="16">
        <v>0.006823097288900969</v>
      </c>
      <c r="Q43" s="16">
        <v>0.168146475195</v>
      </c>
      <c r="R43" s="16">
        <v>0.173476483125</v>
      </c>
      <c r="S43" s="16">
        <v>0.14345861869</v>
      </c>
      <c r="T43" s="16">
        <v>0.14876036419</v>
      </c>
      <c r="U43" s="16">
        <v>0.20459460017</v>
      </c>
      <c r="V43" s="16">
        <v>0.16811473475</v>
      </c>
      <c r="W43" s="16">
        <v>0.17317303565</v>
      </c>
      <c r="X43" s="16">
        <v>0.1434796433</v>
      </c>
      <c r="Y43" s="16">
        <v>0.14987620015</v>
      </c>
      <c r="Z43" s="16">
        <v>0.20555502625</v>
      </c>
      <c r="AA43" s="15">
        <v>0.003767563958876331</v>
      </c>
      <c r="AB43" s="16">
        <v>0.001585126678917339</v>
      </c>
      <c r="AC43" s="16">
        <v>0.006294776962701465</v>
      </c>
      <c r="AD43" s="16">
        <v>0.003430520869516019</v>
      </c>
      <c r="AE43" s="16">
        <v>0.006247847806341314</v>
      </c>
      <c r="AG43" s="16">
        <v>0.4420170533</v>
      </c>
      <c r="AH43" s="16">
        <v>0.4552280997</v>
      </c>
      <c r="AI43" s="16">
        <v>0.581701253</v>
      </c>
      <c r="AJ43" s="16">
        <v>0.4128702071</v>
      </c>
      <c r="AK43" s="16">
        <v>0.4116669859</v>
      </c>
      <c r="AL43" s="16">
        <v>0.6184119041</v>
      </c>
    </row>
    <row r="44">
      <c r="A44" s="14" t="s">
        <v>57</v>
      </c>
      <c r="B44" s="15">
        <v>0.177597225695</v>
      </c>
      <c r="C44" s="16">
        <v>0.18374019066</v>
      </c>
      <c r="D44" s="16">
        <v>0.156929990225</v>
      </c>
      <c r="E44" s="16">
        <v>0.159120020295</v>
      </c>
      <c r="F44" s="16">
        <v>0.21252290673</v>
      </c>
      <c r="G44" s="16">
        <v>0.177786028</v>
      </c>
      <c r="H44" s="16">
        <v>0.1837624367</v>
      </c>
      <c r="I44" s="16">
        <v>0.15589339545</v>
      </c>
      <c r="J44" s="16">
        <v>0.15913286825</v>
      </c>
      <c r="K44" s="16">
        <v>0.2116059613</v>
      </c>
      <c r="L44" s="16">
        <v>0.003432440102418376</v>
      </c>
      <c r="M44" s="16">
        <v>0.00139140559717109</v>
      </c>
      <c r="N44" s="16">
        <v>0.006374514042731018</v>
      </c>
      <c r="O44" s="16">
        <v>0.003062530722684864</v>
      </c>
      <c r="P44" s="16">
        <v>0.007680761016987537</v>
      </c>
      <c r="Q44" s="16">
        <v>0.279803872895</v>
      </c>
      <c r="R44" s="16">
        <v>0.2806090842700001</v>
      </c>
      <c r="S44" s="16">
        <v>0.250311042965</v>
      </c>
      <c r="T44" s="16">
        <v>0.260544716925</v>
      </c>
      <c r="U44" s="16">
        <v>0.32286582602</v>
      </c>
      <c r="V44" s="16">
        <v>0.28164438425</v>
      </c>
      <c r="W44" s="16">
        <v>0.2808246002</v>
      </c>
      <c r="X44" s="16">
        <v>0.24999604945</v>
      </c>
      <c r="Y44" s="16">
        <v>0.2610968664</v>
      </c>
      <c r="Z44" s="16">
        <v>0.3247543109</v>
      </c>
      <c r="AA44" s="15">
        <v>0.00581683945142674</v>
      </c>
      <c r="AB44" s="16">
        <v>0.003236324135418214</v>
      </c>
      <c r="AC44" s="16">
        <v>0.007433747118032995</v>
      </c>
      <c r="AD44" s="16">
        <v>0.003350957028774402</v>
      </c>
      <c r="AE44" s="16">
        <v>0.009992561544449125</v>
      </c>
      <c r="AG44" s="16">
        <v>0.3035385156</v>
      </c>
      <c r="AH44" s="16">
        <v>0.3589802233</v>
      </c>
      <c r="AI44" s="16">
        <v>0.7658837302</v>
      </c>
      <c r="AJ44" s="16">
        <v>0.4319146147</v>
      </c>
      <c r="AK44" s="16">
        <v>0.4198290868</v>
      </c>
      <c r="AL44" s="16">
        <v>0.6028091596</v>
      </c>
    </row>
    <row r="45">
      <c r="A45" s="14" t="s">
        <v>58</v>
      </c>
      <c r="B45" s="15">
        <v>0.180584870885</v>
      </c>
      <c r="C45" s="16">
        <v>0.18742362391</v>
      </c>
      <c r="D45" s="16">
        <v>0.15841009057</v>
      </c>
      <c r="E45" s="16">
        <v>0.162425248475</v>
      </c>
      <c r="F45" s="16">
        <v>0.222696751095</v>
      </c>
      <c r="G45" s="16">
        <v>0.18073703395</v>
      </c>
      <c r="H45" s="16">
        <v>0.1872475087</v>
      </c>
      <c r="I45" s="16">
        <v>0.15785460905</v>
      </c>
      <c r="J45" s="16">
        <v>0.16305191995</v>
      </c>
      <c r="K45" s="16">
        <v>0.22207768445</v>
      </c>
      <c r="L45" s="16">
        <v>0.00373589285573065</v>
      </c>
      <c r="M45" s="16">
        <v>0.001928629626965892</v>
      </c>
      <c r="N45" s="16">
        <v>0.00646691012805087</v>
      </c>
      <c r="O45" s="16">
        <v>0.003843225316263972</v>
      </c>
      <c r="P45" s="16">
        <v>0.006671548565527886</v>
      </c>
      <c r="Q45" s="16">
        <v>0.274630042065</v>
      </c>
      <c r="R45" s="16">
        <v>0.273984922965</v>
      </c>
      <c r="S45" s="16">
        <v>0.24354224327</v>
      </c>
      <c r="T45" s="16">
        <v>0.252906328245</v>
      </c>
      <c r="U45" s="16">
        <v>0.310186555745</v>
      </c>
      <c r="V45" s="16">
        <v>0.27455091185</v>
      </c>
      <c r="W45" s="16">
        <v>0.2736844803</v>
      </c>
      <c r="X45" s="16">
        <v>0.2437939119</v>
      </c>
      <c r="Y45" s="16">
        <v>0.25245760395</v>
      </c>
      <c r="Z45" s="16">
        <v>0.31075137765</v>
      </c>
      <c r="AA45" s="15">
        <v>0.00486751949315294</v>
      </c>
      <c r="AB45" s="16">
        <v>0.002831299820040115</v>
      </c>
      <c r="AC45" s="16">
        <v>0.004904013775217423</v>
      </c>
      <c r="AD45" s="16">
        <v>0.003367082343925559</v>
      </c>
      <c r="AE45" s="16">
        <v>0.009203857272361454</v>
      </c>
      <c r="AG45" s="16">
        <v>0.3047069347</v>
      </c>
      <c r="AH45" s="16">
        <v>0.4350646735</v>
      </c>
      <c r="AI45" s="16">
        <v>0.7592467598</v>
      </c>
      <c r="AJ45" s="16">
        <v>0.4274980486</v>
      </c>
      <c r="AK45" s="16">
        <v>0.4161528529</v>
      </c>
      <c r="AL45" s="16">
        <v>0.5862259734</v>
      </c>
    </row>
    <row r="46">
      <c r="A46" s="18"/>
    </row>
    <row r="47">
      <c r="A47" s="18"/>
    </row>
    <row r="48">
      <c r="A48" s="18"/>
      <c r="B48" s="17"/>
      <c r="C48" s="17"/>
      <c r="D48" s="17"/>
      <c r="E48" s="17"/>
      <c r="F48" s="17"/>
      <c r="G48" s="17"/>
    </row>
    <row r="49">
      <c r="A49" s="18"/>
      <c r="B49" s="16"/>
      <c r="C49" s="16"/>
      <c r="D49" s="16"/>
      <c r="E49" s="16"/>
      <c r="F49" s="16"/>
      <c r="G49" s="16"/>
    </row>
    <row r="50">
      <c r="A50" s="18"/>
      <c r="B50" s="16"/>
      <c r="C50" s="16"/>
      <c r="D50" s="16"/>
      <c r="E50" s="16"/>
      <c r="F50" s="16"/>
      <c r="G50" s="16"/>
    </row>
    <row r="51">
      <c r="A51" s="18"/>
      <c r="B51" s="16"/>
      <c r="C51" s="16"/>
      <c r="D51" s="16"/>
      <c r="E51" s="16"/>
      <c r="F51" s="16"/>
      <c r="G51" s="16"/>
    </row>
    <row r="52">
      <c r="A52" s="18"/>
      <c r="B52" s="16"/>
      <c r="C52" s="16"/>
      <c r="D52" s="16"/>
      <c r="E52" s="16"/>
      <c r="F52" s="16"/>
      <c r="G52" s="16"/>
    </row>
    <row r="53">
      <c r="A53" s="18"/>
      <c r="B53" s="16"/>
      <c r="C53" s="16"/>
      <c r="D53" s="16"/>
      <c r="E53" s="16"/>
      <c r="F53" s="16"/>
      <c r="G53" s="16"/>
    </row>
    <row r="54">
      <c r="A54" s="18"/>
      <c r="B54" s="16"/>
      <c r="C54" s="16"/>
      <c r="D54" s="16"/>
      <c r="E54" s="16"/>
      <c r="F54" s="16"/>
      <c r="G54" s="16"/>
    </row>
    <row r="55">
      <c r="A55" s="18"/>
      <c r="B55" s="16"/>
      <c r="C55" s="16"/>
      <c r="D55" s="16"/>
      <c r="E55" s="16"/>
      <c r="F55" s="16"/>
      <c r="G55" s="16"/>
    </row>
    <row r="56">
      <c r="A56" s="18"/>
      <c r="B56" s="16"/>
      <c r="C56" s="16"/>
      <c r="D56" s="16"/>
      <c r="E56" s="16"/>
      <c r="F56" s="16"/>
      <c r="G56" s="16"/>
    </row>
    <row r="57">
      <c r="A57" s="18"/>
      <c r="B57" s="16"/>
      <c r="C57" s="16"/>
      <c r="D57" s="16"/>
      <c r="E57" s="16"/>
      <c r="F57" s="16"/>
      <c r="G57" s="16"/>
    </row>
    <row r="58">
      <c r="A58" s="18"/>
      <c r="B58" s="16"/>
      <c r="C58" s="16"/>
      <c r="D58" s="16"/>
      <c r="E58" s="16"/>
      <c r="F58" s="16"/>
      <c r="G58" s="16"/>
    </row>
    <row r="59">
      <c r="A59" s="18"/>
      <c r="B59" s="16"/>
      <c r="C59" s="16"/>
      <c r="D59" s="16"/>
      <c r="E59" s="16"/>
      <c r="F59" s="16"/>
      <c r="G59" s="16"/>
    </row>
    <row r="60">
      <c r="A60" s="18"/>
      <c r="B60" s="16"/>
      <c r="C60" s="16"/>
      <c r="D60" s="16"/>
      <c r="E60" s="16"/>
      <c r="F60" s="16"/>
      <c r="G60" s="16"/>
    </row>
    <row r="61">
      <c r="A61" s="18"/>
      <c r="B61" s="16"/>
      <c r="C61" s="16"/>
      <c r="D61" s="16"/>
      <c r="E61" s="16"/>
      <c r="F61" s="16"/>
      <c r="G61" s="16"/>
    </row>
    <row r="62">
      <c r="A62" s="18"/>
      <c r="B62" s="16"/>
      <c r="C62" s="16"/>
      <c r="D62" s="16"/>
      <c r="E62" s="16"/>
      <c r="F62" s="16"/>
      <c r="G62" s="16"/>
    </row>
    <row r="63">
      <c r="A63" s="18"/>
      <c r="B63" s="16"/>
      <c r="C63" s="16"/>
      <c r="D63" s="16"/>
      <c r="E63" s="16"/>
      <c r="F63" s="16"/>
      <c r="G63" s="16"/>
    </row>
    <row r="64">
      <c r="A64" s="18"/>
      <c r="B64" s="16"/>
      <c r="C64" s="16"/>
      <c r="D64" s="16"/>
      <c r="E64" s="16"/>
      <c r="F64" s="16"/>
      <c r="G64" s="16"/>
    </row>
    <row r="65">
      <c r="A65" s="18"/>
      <c r="B65" s="16"/>
      <c r="C65" s="16"/>
      <c r="D65" s="16"/>
      <c r="E65" s="16"/>
      <c r="F65" s="16"/>
      <c r="G65" s="16"/>
    </row>
    <row r="66">
      <c r="A66" s="18"/>
      <c r="B66" s="16"/>
      <c r="C66" s="16"/>
      <c r="D66" s="16"/>
      <c r="E66" s="16"/>
      <c r="F66" s="16"/>
      <c r="G66" s="16"/>
    </row>
    <row r="67">
      <c r="A67" s="18"/>
      <c r="B67" s="16"/>
      <c r="C67" s="16"/>
      <c r="D67" s="16"/>
      <c r="E67" s="16"/>
      <c r="F67" s="16"/>
      <c r="G67" s="16"/>
    </row>
    <row r="68">
      <c r="A68" s="18"/>
      <c r="B68" s="16"/>
      <c r="C68" s="16"/>
      <c r="D68" s="16"/>
      <c r="E68" s="16"/>
      <c r="F68" s="16"/>
      <c r="G68" s="16"/>
    </row>
    <row r="69">
      <c r="A69" s="18"/>
      <c r="B69" s="16"/>
      <c r="C69" s="16"/>
      <c r="D69" s="16"/>
      <c r="E69" s="16"/>
      <c r="F69" s="16"/>
      <c r="G69" s="16"/>
    </row>
    <row r="70">
      <c r="A70" s="18"/>
      <c r="B70" s="16"/>
      <c r="C70" s="16"/>
      <c r="D70" s="16"/>
      <c r="E70" s="16"/>
      <c r="F70" s="16"/>
      <c r="G70" s="16"/>
    </row>
    <row r="71">
      <c r="A71" s="18"/>
      <c r="B71" s="16"/>
      <c r="C71" s="16"/>
      <c r="D71" s="16"/>
      <c r="E71" s="16"/>
      <c r="F71" s="16"/>
      <c r="G71" s="16"/>
    </row>
    <row r="72">
      <c r="A72" s="18"/>
      <c r="B72" s="16"/>
      <c r="C72" s="16"/>
      <c r="D72" s="16"/>
      <c r="E72" s="16"/>
      <c r="F72" s="16"/>
      <c r="G72" s="16"/>
    </row>
    <row r="73">
      <c r="A73" s="18"/>
      <c r="B73" s="16"/>
      <c r="C73" s="16"/>
      <c r="D73" s="16"/>
      <c r="E73" s="16"/>
      <c r="F73" s="16"/>
      <c r="G73" s="16"/>
    </row>
    <row r="74">
      <c r="A74" s="18"/>
      <c r="B74" s="16"/>
      <c r="C74" s="16"/>
      <c r="D74" s="16"/>
      <c r="E74" s="16"/>
      <c r="F74" s="16"/>
      <c r="G74" s="16"/>
    </row>
    <row r="75">
      <c r="A75" s="18"/>
      <c r="B75" s="16"/>
      <c r="C75" s="16"/>
      <c r="D75" s="16"/>
      <c r="E75" s="16"/>
      <c r="F75" s="16"/>
      <c r="G75" s="16"/>
    </row>
    <row r="76">
      <c r="A76" s="18"/>
      <c r="B76" s="16"/>
      <c r="C76" s="16"/>
      <c r="D76" s="16"/>
      <c r="E76" s="16"/>
      <c r="F76" s="16"/>
      <c r="G76" s="16"/>
    </row>
    <row r="77">
      <c r="A77" s="18"/>
      <c r="B77" s="16"/>
      <c r="C77" s="16"/>
      <c r="D77" s="16"/>
      <c r="E77" s="16"/>
      <c r="F77" s="16"/>
      <c r="G77" s="16"/>
    </row>
    <row r="78">
      <c r="A78" s="18"/>
      <c r="B78" s="16"/>
      <c r="C78" s="16"/>
      <c r="D78" s="16"/>
      <c r="E78" s="16"/>
      <c r="F78" s="16"/>
      <c r="G78" s="16"/>
    </row>
    <row r="79">
      <c r="A79" s="18"/>
      <c r="B79" s="16"/>
      <c r="C79" s="16"/>
      <c r="D79" s="16"/>
      <c r="E79" s="16"/>
      <c r="F79" s="16"/>
      <c r="G79" s="16"/>
    </row>
    <row r="80">
      <c r="A80" s="18"/>
      <c r="B80" s="17"/>
      <c r="C80" s="17"/>
      <c r="D80" s="16"/>
      <c r="E80" s="16"/>
      <c r="F80" s="16"/>
      <c r="G80" s="16"/>
    </row>
    <row r="81">
      <c r="A81" s="18"/>
      <c r="B81" s="16"/>
      <c r="C81" s="16"/>
      <c r="D81" s="16"/>
      <c r="E81" s="16"/>
      <c r="F81" s="16"/>
      <c r="G81" s="16"/>
    </row>
    <row r="82">
      <c r="A82" s="18"/>
      <c r="B82" s="16"/>
      <c r="C82" s="16"/>
      <c r="D82" s="16"/>
      <c r="E82" s="16"/>
      <c r="F82" s="16"/>
      <c r="G82" s="16"/>
    </row>
    <row r="83">
      <c r="A83" s="18"/>
      <c r="B83" s="16"/>
      <c r="C83" s="16"/>
      <c r="D83" s="16"/>
      <c r="E83" s="16"/>
      <c r="F83" s="16"/>
      <c r="G83" s="16"/>
    </row>
    <row r="84">
      <c r="A84" s="18"/>
      <c r="B84" s="16"/>
      <c r="C84" s="16"/>
      <c r="D84" s="16"/>
      <c r="E84" s="16"/>
      <c r="F84" s="16"/>
      <c r="G84" s="16"/>
    </row>
    <row r="85">
      <c r="A85" s="18"/>
      <c r="B85" s="16"/>
      <c r="C85" s="16"/>
      <c r="D85" s="16"/>
      <c r="E85" s="16"/>
      <c r="F85" s="16"/>
      <c r="G85" s="16"/>
    </row>
    <row r="86">
      <c r="A86" s="18"/>
      <c r="B86" s="16"/>
      <c r="C86" s="16"/>
      <c r="D86" s="16"/>
      <c r="E86" s="16"/>
      <c r="F86" s="16"/>
      <c r="G86" s="16"/>
    </row>
    <row r="87">
      <c r="A87" s="18"/>
      <c r="B87" s="16"/>
      <c r="C87" s="16"/>
      <c r="D87" s="16"/>
      <c r="E87" s="16"/>
      <c r="F87" s="16"/>
      <c r="G87" s="16"/>
    </row>
    <row r="88">
      <c r="A88" s="18"/>
      <c r="B88" s="16"/>
      <c r="C88" s="16"/>
      <c r="D88" s="16"/>
      <c r="E88" s="16"/>
      <c r="F88" s="16"/>
      <c r="G88" s="16"/>
    </row>
    <row r="89">
      <c r="A89" s="18"/>
      <c r="B89" s="16"/>
      <c r="C89" s="16"/>
      <c r="D89" s="16"/>
      <c r="E89" s="16"/>
      <c r="F89" s="16"/>
      <c r="G89" s="16"/>
    </row>
    <row r="90">
      <c r="A90" s="18"/>
      <c r="B90" s="16"/>
      <c r="C90" s="16"/>
      <c r="D90" s="16"/>
      <c r="E90" s="16"/>
      <c r="F90" s="16"/>
      <c r="G90" s="16"/>
    </row>
    <row r="91">
      <c r="A91" s="18"/>
      <c r="B91" s="17"/>
      <c r="C91" s="17"/>
      <c r="D91" s="17"/>
      <c r="E91" s="17"/>
      <c r="F91" s="17"/>
      <c r="G91" s="17"/>
    </row>
    <row r="92">
      <c r="A92" s="18"/>
      <c r="B92" s="17"/>
      <c r="C92" s="17"/>
      <c r="D92" s="17"/>
      <c r="E92" s="17"/>
      <c r="F92" s="17"/>
      <c r="G92" s="17"/>
    </row>
    <row r="93">
      <c r="A93" s="18"/>
      <c r="B93" s="17"/>
      <c r="C93" s="17"/>
      <c r="D93" s="17"/>
      <c r="E93" s="17"/>
      <c r="F93" s="17"/>
      <c r="G93" s="17"/>
    </row>
    <row r="94">
      <c r="A94" s="18"/>
      <c r="B94" s="17"/>
      <c r="C94" s="17"/>
      <c r="D94" s="17"/>
      <c r="E94" s="17"/>
      <c r="F94" s="17"/>
      <c r="G94" s="17"/>
    </row>
    <row r="95">
      <c r="A95" s="18"/>
      <c r="B95" s="17"/>
      <c r="C95" s="17"/>
      <c r="D95" s="17"/>
      <c r="E95" s="17"/>
      <c r="F95" s="17"/>
      <c r="G95" s="17"/>
    </row>
    <row r="96">
      <c r="A96" s="18"/>
      <c r="B96" s="17"/>
      <c r="C96" s="17"/>
      <c r="D96" s="17"/>
      <c r="E96" s="17"/>
      <c r="F96" s="17"/>
      <c r="G96" s="17"/>
    </row>
    <row r="97">
      <c r="A97" s="18"/>
      <c r="B97" s="17"/>
      <c r="C97" s="17"/>
      <c r="D97" s="17"/>
      <c r="E97" s="17"/>
      <c r="F97" s="17"/>
      <c r="G97" s="17"/>
    </row>
    <row r="98">
      <c r="A98" s="18"/>
      <c r="B98" s="17"/>
      <c r="C98" s="17"/>
      <c r="D98" s="17"/>
      <c r="E98" s="17"/>
      <c r="F98" s="17"/>
      <c r="G98" s="17"/>
    </row>
    <row r="99">
      <c r="A99" s="18"/>
      <c r="B99" s="17"/>
      <c r="C99" s="17"/>
      <c r="D99" s="17"/>
      <c r="E99" s="17"/>
      <c r="F99" s="17"/>
      <c r="G99" s="17"/>
    </row>
    <row r="100">
      <c r="A100" s="18"/>
      <c r="B100" s="17"/>
      <c r="C100" s="17"/>
      <c r="D100" s="17"/>
      <c r="E100" s="17"/>
      <c r="F100" s="17"/>
      <c r="G100" s="17"/>
    </row>
    <row r="101">
      <c r="A101" s="18"/>
      <c r="B101" s="17"/>
      <c r="C101" s="17"/>
      <c r="D101" s="17"/>
      <c r="E101" s="17"/>
      <c r="F101" s="17"/>
      <c r="G101" s="17"/>
    </row>
    <row r="102">
      <c r="A102" s="18"/>
      <c r="B102" s="17"/>
      <c r="C102" s="17"/>
      <c r="D102" s="17"/>
      <c r="E102" s="17"/>
      <c r="F102" s="17"/>
      <c r="G102" s="17"/>
    </row>
    <row r="103">
      <c r="A103" s="18"/>
      <c r="B103" s="17"/>
      <c r="C103" s="17"/>
      <c r="D103" s="17"/>
      <c r="E103" s="17"/>
      <c r="F103" s="17"/>
      <c r="G103" s="17"/>
    </row>
    <row r="104">
      <c r="A104" s="18"/>
      <c r="B104" s="17"/>
      <c r="C104" s="17"/>
      <c r="D104" s="17"/>
      <c r="E104" s="17"/>
      <c r="F104" s="17"/>
      <c r="G104" s="17"/>
    </row>
    <row r="105">
      <c r="A105" s="18"/>
      <c r="B105" s="17"/>
      <c r="C105" s="17"/>
      <c r="D105" s="17"/>
      <c r="E105" s="17"/>
      <c r="F105" s="17"/>
      <c r="G105" s="17"/>
    </row>
    <row r="106">
      <c r="A106" s="18"/>
      <c r="B106" s="17"/>
      <c r="C106" s="17"/>
      <c r="D106" s="17"/>
      <c r="E106" s="17"/>
      <c r="F106" s="17"/>
      <c r="G106" s="17"/>
    </row>
    <row r="107">
      <c r="A107" s="18"/>
      <c r="B107" s="17"/>
      <c r="C107" s="17"/>
      <c r="D107" s="17"/>
      <c r="E107" s="17"/>
      <c r="F107" s="17"/>
      <c r="G107" s="17"/>
    </row>
    <row r="108">
      <c r="A108" s="18"/>
      <c r="B108" s="17"/>
      <c r="C108" s="17"/>
      <c r="D108" s="17"/>
      <c r="E108" s="17"/>
      <c r="F108" s="17"/>
      <c r="G108" s="17"/>
    </row>
    <row r="109">
      <c r="A109" s="18"/>
      <c r="B109" s="17"/>
      <c r="C109" s="17"/>
      <c r="D109" s="17"/>
      <c r="E109" s="17"/>
      <c r="F109" s="17"/>
      <c r="G109" s="17"/>
    </row>
    <row r="110">
      <c r="A110" s="18"/>
      <c r="B110" s="17"/>
      <c r="C110" s="17"/>
      <c r="D110" s="17"/>
      <c r="E110" s="17"/>
      <c r="F110" s="17"/>
      <c r="G110" s="17"/>
    </row>
    <row r="111">
      <c r="A111" s="18"/>
      <c r="B111" s="17"/>
      <c r="C111" s="17"/>
      <c r="D111" s="17"/>
      <c r="E111" s="17"/>
      <c r="F111" s="17"/>
      <c r="G111" s="17"/>
    </row>
    <row r="112">
      <c r="A112" s="18"/>
      <c r="B112" s="17"/>
      <c r="C112" s="17"/>
      <c r="D112" s="17"/>
      <c r="E112" s="17"/>
      <c r="F112" s="17"/>
      <c r="G112" s="17"/>
    </row>
    <row r="113">
      <c r="A113" s="18"/>
      <c r="B113" s="17"/>
      <c r="C113" s="17"/>
      <c r="D113" s="17"/>
      <c r="E113" s="17"/>
      <c r="F113" s="17"/>
      <c r="G113" s="17"/>
    </row>
    <row r="114">
      <c r="A114" s="18"/>
      <c r="B114" s="17"/>
      <c r="C114" s="17"/>
      <c r="D114" s="17"/>
      <c r="E114" s="17"/>
      <c r="F114" s="17"/>
      <c r="G114" s="17"/>
    </row>
    <row r="115">
      <c r="A115" s="18"/>
      <c r="B115" s="17"/>
      <c r="C115" s="17"/>
      <c r="D115" s="17"/>
      <c r="E115" s="17"/>
      <c r="F115" s="17"/>
      <c r="G115" s="17"/>
    </row>
    <row r="116">
      <c r="A116" s="18"/>
      <c r="B116" s="17"/>
      <c r="C116" s="17"/>
      <c r="D116" s="17"/>
      <c r="E116" s="17"/>
      <c r="F116" s="17"/>
      <c r="G116" s="17"/>
    </row>
    <row r="117">
      <c r="A117" s="18"/>
      <c r="B117" s="17"/>
      <c r="C117" s="17"/>
      <c r="D117" s="17"/>
      <c r="E117" s="17"/>
      <c r="F117" s="17"/>
      <c r="G117" s="17"/>
    </row>
    <row r="118">
      <c r="A118" s="18"/>
      <c r="B118" s="17"/>
      <c r="C118" s="17"/>
      <c r="D118" s="17"/>
      <c r="E118" s="17"/>
      <c r="F118" s="17"/>
      <c r="G118" s="17"/>
    </row>
    <row r="119">
      <c r="A119" s="18"/>
      <c r="B119" s="17"/>
      <c r="C119" s="17"/>
      <c r="D119" s="17"/>
      <c r="E119" s="17"/>
      <c r="F119" s="17"/>
      <c r="G119" s="17"/>
    </row>
    <row r="120">
      <c r="A120" s="18"/>
      <c r="B120" s="17"/>
      <c r="C120" s="17"/>
      <c r="D120" s="17"/>
      <c r="E120" s="17"/>
      <c r="F120" s="17"/>
      <c r="G120" s="17"/>
    </row>
    <row r="121">
      <c r="A121" s="18"/>
      <c r="B121" s="17"/>
      <c r="C121" s="17"/>
      <c r="D121" s="17"/>
      <c r="E121" s="17"/>
      <c r="F121" s="17"/>
      <c r="G121" s="17"/>
    </row>
    <row r="122">
      <c r="A122" s="18"/>
      <c r="B122" s="17"/>
      <c r="C122" s="17"/>
      <c r="D122" s="17"/>
      <c r="E122" s="17"/>
      <c r="F122" s="17"/>
      <c r="G122" s="17"/>
    </row>
    <row r="123">
      <c r="A123" s="18"/>
      <c r="B123" s="17"/>
      <c r="C123" s="17"/>
      <c r="D123" s="17"/>
      <c r="E123" s="17"/>
      <c r="F123" s="17"/>
      <c r="G123" s="17"/>
    </row>
    <row r="124">
      <c r="A124" s="18"/>
      <c r="B124" s="17"/>
      <c r="C124" s="17"/>
      <c r="D124" s="17"/>
      <c r="E124" s="17"/>
      <c r="F124" s="17"/>
      <c r="G124" s="17"/>
    </row>
    <row r="125">
      <c r="A125" s="18"/>
      <c r="B125" s="17"/>
      <c r="C125" s="17"/>
      <c r="D125" s="17"/>
      <c r="E125" s="17"/>
      <c r="F125" s="17"/>
      <c r="G125" s="17"/>
    </row>
    <row r="126">
      <c r="A126" s="18"/>
      <c r="B126" s="17"/>
      <c r="C126" s="17"/>
      <c r="D126" s="17"/>
      <c r="E126" s="17"/>
      <c r="F126" s="17"/>
      <c r="G126" s="17"/>
    </row>
    <row r="127">
      <c r="A127" s="18"/>
      <c r="B127" s="17"/>
      <c r="C127" s="17"/>
      <c r="D127" s="17"/>
      <c r="E127" s="17"/>
      <c r="F127" s="17"/>
      <c r="G127" s="17"/>
    </row>
    <row r="128">
      <c r="A128" s="18"/>
      <c r="B128" s="17"/>
      <c r="C128" s="17"/>
      <c r="D128" s="17"/>
      <c r="E128" s="17"/>
      <c r="F128" s="17"/>
      <c r="G128" s="17"/>
    </row>
    <row r="129">
      <c r="A129" s="18"/>
      <c r="B129" s="17"/>
      <c r="C129" s="17"/>
      <c r="D129" s="17"/>
      <c r="E129" s="17"/>
      <c r="F129" s="17"/>
      <c r="G129" s="17"/>
    </row>
    <row r="130">
      <c r="A130" s="18"/>
      <c r="B130" s="17"/>
      <c r="C130" s="17"/>
      <c r="D130" s="17"/>
      <c r="E130" s="17"/>
      <c r="F130" s="17"/>
      <c r="G130" s="17"/>
    </row>
    <row r="131">
      <c r="A131" s="18"/>
      <c r="B131" s="17"/>
      <c r="C131" s="17"/>
      <c r="D131" s="17"/>
      <c r="E131" s="17"/>
      <c r="F131" s="17"/>
      <c r="G131" s="17"/>
    </row>
    <row r="132">
      <c r="A132" s="18"/>
      <c r="B132" s="17"/>
      <c r="C132" s="17"/>
      <c r="D132" s="17"/>
      <c r="E132" s="17"/>
      <c r="F132" s="17"/>
      <c r="G132" s="17"/>
    </row>
    <row r="133">
      <c r="A133" s="18"/>
      <c r="B133" s="17"/>
      <c r="C133" s="17"/>
      <c r="D133" s="17"/>
      <c r="E133" s="17"/>
      <c r="F133" s="17"/>
      <c r="G133" s="17"/>
    </row>
    <row r="134">
      <c r="A134" s="18"/>
      <c r="B134" s="17"/>
      <c r="C134" s="17"/>
      <c r="D134" s="17"/>
      <c r="E134" s="17"/>
      <c r="F134" s="17"/>
      <c r="G134" s="17"/>
    </row>
    <row r="135">
      <c r="A135" s="18"/>
      <c r="B135" s="17"/>
      <c r="C135" s="17"/>
      <c r="D135" s="17"/>
      <c r="E135" s="17"/>
      <c r="F135" s="17"/>
      <c r="G135" s="17"/>
    </row>
    <row r="136">
      <c r="A136" s="18"/>
      <c r="B136" s="17"/>
      <c r="C136" s="17"/>
      <c r="D136" s="17"/>
      <c r="E136" s="17"/>
      <c r="F136" s="17"/>
      <c r="G136" s="17"/>
    </row>
    <row r="137">
      <c r="A137" s="18"/>
      <c r="B137" s="17"/>
      <c r="C137" s="17"/>
      <c r="D137" s="17"/>
      <c r="E137" s="17"/>
      <c r="F137" s="17"/>
      <c r="G137" s="17"/>
    </row>
    <row r="138">
      <c r="A138" s="18"/>
      <c r="B138" s="17"/>
      <c r="C138" s="17"/>
      <c r="D138" s="17"/>
      <c r="E138" s="17"/>
      <c r="F138" s="17"/>
      <c r="G138" s="17"/>
    </row>
    <row r="139">
      <c r="A139" s="18"/>
      <c r="B139" s="17"/>
      <c r="C139" s="17"/>
      <c r="D139" s="17"/>
      <c r="E139" s="17"/>
      <c r="F139" s="17"/>
      <c r="G139" s="17"/>
    </row>
    <row r="140">
      <c r="A140" s="18"/>
      <c r="B140" s="17"/>
      <c r="C140" s="17"/>
      <c r="D140" s="17"/>
      <c r="E140" s="17"/>
      <c r="F140" s="17"/>
      <c r="G140" s="17"/>
    </row>
    <row r="141">
      <c r="A141" s="18"/>
      <c r="B141" s="17"/>
      <c r="C141" s="17"/>
      <c r="D141" s="17"/>
      <c r="E141" s="17"/>
      <c r="F141" s="17"/>
      <c r="G141" s="17"/>
    </row>
    <row r="142">
      <c r="A142" s="18"/>
      <c r="B142" s="17"/>
      <c r="C142" s="17"/>
      <c r="D142" s="17"/>
      <c r="E142" s="17"/>
      <c r="F142" s="17"/>
      <c r="G142" s="17"/>
    </row>
    <row r="143">
      <c r="A143" s="18"/>
      <c r="B143" s="17"/>
      <c r="C143" s="17"/>
      <c r="D143" s="17"/>
      <c r="E143" s="17"/>
      <c r="F143" s="17"/>
      <c r="G143" s="17"/>
    </row>
    <row r="144">
      <c r="A144" s="18"/>
      <c r="B144" s="17"/>
      <c r="C144" s="17"/>
      <c r="D144" s="17"/>
      <c r="E144" s="17"/>
      <c r="F144" s="17"/>
      <c r="G144" s="17"/>
    </row>
    <row r="145">
      <c r="A145" s="18"/>
      <c r="B145" s="17"/>
      <c r="C145" s="17"/>
      <c r="D145" s="17"/>
      <c r="E145" s="17"/>
      <c r="F145" s="17"/>
      <c r="G145" s="17"/>
    </row>
    <row r="146">
      <c r="A146" s="18"/>
      <c r="B146" s="17"/>
      <c r="C146" s="17"/>
      <c r="D146" s="17"/>
      <c r="E146" s="17"/>
      <c r="F146" s="17"/>
      <c r="G146" s="17"/>
    </row>
    <row r="147">
      <c r="A147" s="18"/>
      <c r="B147" s="17"/>
      <c r="C147" s="17"/>
      <c r="D147" s="17"/>
      <c r="E147" s="17"/>
      <c r="F147" s="17"/>
      <c r="G147" s="17"/>
    </row>
    <row r="148">
      <c r="A148" s="18"/>
      <c r="B148" s="17"/>
      <c r="C148" s="17"/>
      <c r="D148" s="17"/>
      <c r="E148" s="17"/>
      <c r="F148" s="17"/>
      <c r="G148" s="17"/>
    </row>
    <row r="149">
      <c r="A149" s="18"/>
      <c r="B149" s="17"/>
      <c r="C149" s="17"/>
      <c r="D149" s="17"/>
      <c r="E149" s="17"/>
      <c r="F149" s="17"/>
      <c r="G149" s="17"/>
    </row>
    <row r="150">
      <c r="A150" s="18"/>
      <c r="B150" s="17"/>
      <c r="C150" s="17"/>
      <c r="D150" s="17"/>
      <c r="E150" s="17"/>
      <c r="F150" s="17"/>
      <c r="G150" s="17"/>
    </row>
    <row r="151">
      <c r="A151" s="18"/>
      <c r="B151" s="17"/>
      <c r="C151" s="17"/>
      <c r="D151" s="17"/>
      <c r="E151" s="17"/>
      <c r="F151" s="17"/>
      <c r="G151" s="17"/>
    </row>
    <row r="152">
      <c r="A152" s="18"/>
      <c r="B152" s="17"/>
      <c r="C152" s="17"/>
      <c r="D152" s="17"/>
      <c r="E152" s="17"/>
      <c r="F152" s="17"/>
      <c r="G152" s="17"/>
    </row>
    <row r="153">
      <c r="A153" s="18"/>
      <c r="B153" s="17"/>
      <c r="C153" s="17"/>
      <c r="D153" s="17"/>
      <c r="E153" s="17"/>
      <c r="F153" s="17"/>
      <c r="G153" s="17"/>
    </row>
    <row r="154">
      <c r="A154" s="18"/>
      <c r="B154" s="17"/>
      <c r="C154" s="17"/>
      <c r="D154" s="17"/>
      <c r="E154" s="17"/>
      <c r="F154" s="17"/>
      <c r="G154" s="17"/>
    </row>
    <row r="155">
      <c r="A155" s="18"/>
      <c r="B155" s="17"/>
      <c r="C155" s="17"/>
      <c r="D155" s="17"/>
      <c r="E155" s="17"/>
      <c r="F155" s="17"/>
      <c r="G155" s="17"/>
    </row>
    <row r="156">
      <c r="A156" s="18"/>
      <c r="B156" s="17"/>
      <c r="C156" s="17"/>
      <c r="D156" s="17"/>
      <c r="E156" s="17"/>
      <c r="F156" s="17"/>
      <c r="G156" s="17"/>
    </row>
    <row r="157">
      <c r="A157" s="18"/>
      <c r="B157" s="17"/>
      <c r="C157" s="17"/>
      <c r="D157" s="17"/>
      <c r="E157" s="17"/>
      <c r="F157" s="17"/>
      <c r="G157" s="17"/>
    </row>
    <row r="158">
      <c r="A158" s="18"/>
      <c r="B158" s="17"/>
      <c r="C158" s="17"/>
      <c r="D158" s="17"/>
      <c r="E158" s="17"/>
      <c r="F158" s="17"/>
      <c r="G158" s="17"/>
    </row>
    <row r="159">
      <c r="A159" s="18"/>
      <c r="B159" s="17"/>
      <c r="C159" s="17"/>
      <c r="D159" s="17"/>
      <c r="E159" s="17"/>
      <c r="F159" s="17"/>
      <c r="G159" s="17"/>
    </row>
    <row r="160">
      <c r="A160" s="18"/>
      <c r="B160" s="17"/>
      <c r="C160" s="17"/>
      <c r="D160" s="17"/>
      <c r="E160" s="17"/>
      <c r="F160" s="17"/>
      <c r="G160" s="17"/>
    </row>
    <row r="161">
      <c r="A161" s="18"/>
      <c r="B161" s="17"/>
      <c r="C161" s="17"/>
      <c r="D161" s="17"/>
      <c r="E161" s="17"/>
      <c r="F161" s="17"/>
      <c r="G161" s="17"/>
    </row>
    <row r="162">
      <c r="A162" s="18"/>
      <c r="B162" s="17"/>
      <c r="C162" s="17"/>
      <c r="D162" s="17"/>
      <c r="E162" s="17"/>
      <c r="F162" s="17"/>
      <c r="G162" s="17"/>
    </row>
    <row r="163">
      <c r="A163" s="18"/>
      <c r="B163" s="17"/>
      <c r="C163" s="17"/>
      <c r="D163" s="17"/>
      <c r="E163" s="17"/>
      <c r="F163" s="17"/>
      <c r="G163" s="17"/>
    </row>
    <row r="164">
      <c r="A164" s="18"/>
      <c r="B164" s="17"/>
      <c r="C164" s="17"/>
      <c r="D164" s="17"/>
      <c r="E164" s="17"/>
      <c r="F164" s="17"/>
      <c r="G164" s="17"/>
    </row>
    <row r="165">
      <c r="A165" s="18"/>
      <c r="B165" s="17"/>
      <c r="C165" s="17"/>
      <c r="D165" s="17"/>
      <c r="E165" s="17"/>
      <c r="F165" s="17"/>
      <c r="G165" s="17"/>
    </row>
    <row r="166">
      <c r="A166" s="18"/>
      <c r="B166" s="17"/>
      <c r="C166" s="17"/>
      <c r="D166" s="17"/>
      <c r="E166" s="17"/>
      <c r="F166" s="17"/>
      <c r="G166" s="17"/>
    </row>
    <row r="167">
      <c r="A167" s="18"/>
      <c r="B167" s="17"/>
      <c r="C167" s="17"/>
      <c r="D167" s="17"/>
      <c r="E167" s="17"/>
      <c r="F167" s="17"/>
      <c r="G167" s="17"/>
    </row>
    <row r="168">
      <c r="A168" s="18"/>
      <c r="B168" s="17"/>
      <c r="C168" s="17"/>
      <c r="D168" s="17"/>
      <c r="E168" s="17"/>
      <c r="F168" s="17"/>
      <c r="G168" s="17"/>
    </row>
    <row r="169">
      <c r="A169" s="18"/>
      <c r="B169" s="17"/>
      <c r="C169" s="17"/>
      <c r="D169" s="17"/>
      <c r="E169" s="17"/>
      <c r="F169" s="17"/>
      <c r="G169" s="17"/>
    </row>
    <row r="170">
      <c r="A170" s="18"/>
      <c r="B170" s="17"/>
      <c r="C170" s="17"/>
      <c r="D170" s="17"/>
      <c r="E170" s="17"/>
      <c r="F170" s="17"/>
      <c r="G170" s="17"/>
    </row>
    <row r="171">
      <c r="A171" s="18"/>
      <c r="B171" s="17"/>
      <c r="C171" s="17"/>
      <c r="D171" s="17"/>
      <c r="E171" s="17"/>
      <c r="F171" s="17"/>
      <c r="G171" s="17"/>
    </row>
    <row r="172">
      <c r="A172" s="18"/>
      <c r="B172" s="17"/>
      <c r="C172" s="17"/>
      <c r="D172" s="17"/>
      <c r="E172" s="17"/>
      <c r="F172" s="17"/>
      <c r="G172" s="17"/>
    </row>
    <row r="173">
      <c r="A173" s="18"/>
      <c r="B173" s="17"/>
      <c r="C173" s="17"/>
      <c r="D173" s="17"/>
      <c r="E173" s="17"/>
      <c r="F173" s="17"/>
      <c r="G173" s="17"/>
    </row>
    <row r="174">
      <c r="A174" s="18"/>
      <c r="B174" s="17"/>
      <c r="C174" s="17"/>
      <c r="D174" s="17"/>
      <c r="E174" s="17"/>
      <c r="F174" s="17"/>
      <c r="G174" s="17"/>
    </row>
    <row r="175">
      <c r="A175" s="18"/>
      <c r="B175" s="17"/>
      <c r="C175" s="17"/>
      <c r="D175" s="17"/>
      <c r="E175" s="17"/>
      <c r="F175" s="17"/>
      <c r="G175" s="17"/>
    </row>
    <row r="176">
      <c r="A176" s="18"/>
      <c r="B176" s="17"/>
      <c r="C176" s="17"/>
      <c r="D176" s="17"/>
      <c r="E176" s="17"/>
      <c r="F176" s="17"/>
      <c r="G176" s="17"/>
    </row>
    <row r="177">
      <c r="A177" s="18"/>
      <c r="B177" s="17"/>
      <c r="C177" s="17"/>
      <c r="D177" s="17"/>
      <c r="E177" s="17"/>
      <c r="F177" s="17"/>
      <c r="G177" s="17"/>
    </row>
    <row r="178">
      <c r="A178" s="18"/>
      <c r="B178" s="17"/>
      <c r="C178" s="17"/>
      <c r="D178" s="17"/>
      <c r="E178" s="17"/>
      <c r="F178" s="17"/>
      <c r="G178" s="17"/>
    </row>
    <row r="179">
      <c r="A179" s="18"/>
      <c r="B179" s="17"/>
      <c r="C179" s="17"/>
      <c r="D179" s="17"/>
      <c r="E179" s="17"/>
      <c r="F179" s="17"/>
      <c r="G179" s="17"/>
    </row>
    <row r="180">
      <c r="A180" s="18"/>
      <c r="B180" s="17"/>
      <c r="C180" s="17"/>
      <c r="D180" s="17"/>
      <c r="E180" s="17"/>
      <c r="F180" s="17"/>
      <c r="G180" s="17"/>
    </row>
    <row r="181">
      <c r="A181" s="18"/>
      <c r="B181" s="17"/>
      <c r="C181" s="17"/>
      <c r="D181" s="17"/>
      <c r="E181" s="17"/>
      <c r="F181" s="17"/>
      <c r="G181" s="17"/>
    </row>
    <row r="182">
      <c r="A182" s="18"/>
      <c r="B182" s="17"/>
      <c r="C182" s="17"/>
      <c r="D182" s="17"/>
      <c r="E182" s="17"/>
      <c r="F182" s="17"/>
      <c r="G182" s="17"/>
    </row>
    <row r="183">
      <c r="A183" s="18"/>
      <c r="B183" s="17"/>
      <c r="C183" s="17"/>
      <c r="D183" s="17"/>
      <c r="E183" s="17"/>
      <c r="F183" s="17"/>
      <c r="G183" s="17"/>
    </row>
    <row r="184">
      <c r="A184" s="18"/>
      <c r="B184" s="17"/>
      <c r="C184" s="17"/>
      <c r="D184" s="17"/>
      <c r="E184" s="17"/>
      <c r="F184" s="17"/>
      <c r="G184" s="17"/>
    </row>
    <row r="185">
      <c r="A185" s="18"/>
      <c r="B185" s="17"/>
      <c r="C185" s="17"/>
      <c r="D185" s="17"/>
      <c r="E185" s="17"/>
      <c r="F185" s="17"/>
      <c r="G185" s="17"/>
    </row>
    <row r="186">
      <c r="A186" s="18"/>
      <c r="B186" s="17"/>
      <c r="C186" s="17"/>
      <c r="D186" s="17"/>
      <c r="E186" s="17"/>
      <c r="F186" s="17"/>
      <c r="G186" s="17"/>
    </row>
    <row r="187">
      <c r="A187" s="18"/>
      <c r="B187" s="17"/>
      <c r="C187" s="17"/>
      <c r="D187" s="17"/>
      <c r="E187" s="17"/>
      <c r="F187" s="17"/>
      <c r="G187" s="17"/>
    </row>
    <row r="188">
      <c r="A188" s="18"/>
      <c r="B188" s="17"/>
      <c r="C188" s="17"/>
      <c r="D188" s="17"/>
      <c r="E188" s="17"/>
      <c r="F188" s="17"/>
      <c r="G188" s="17"/>
    </row>
    <row r="189">
      <c r="A189" s="18"/>
      <c r="B189" s="17"/>
      <c r="C189" s="17"/>
      <c r="D189" s="17"/>
      <c r="E189" s="17"/>
      <c r="F189" s="17"/>
      <c r="G189" s="17"/>
    </row>
    <row r="190">
      <c r="A190" s="18"/>
      <c r="B190" s="17"/>
      <c r="C190" s="17"/>
      <c r="D190" s="17"/>
      <c r="E190" s="17"/>
      <c r="F190" s="17"/>
      <c r="G190" s="17"/>
    </row>
    <row r="191">
      <c r="A191" s="18"/>
      <c r="B191" s="17"/>
      <c r="C191" s="17"/>
      <c r="D191" s="17"/>
      <c r="E191" s="17"/>
      <c r="F191" s="17"/>
      <c r="G191" s="17"/>
    </row>
    <row r="192">
      <c r="A192" s="18"/>
      <c r="B192" s="17"/>
      <c r="C192" s="17"/>
      <c r="D192" s="17"/>
      <c r="E192" s="17"/>
      <c r="F192" s="17"/>
      <c r="G192" s="17"/>
    </row>
    <row r="193">
      <c r="A193" s="18"/>
      <c r="B193" s="17"/>
      <c r="C193" s="17"/>
      <c r="D193" s="17"/>
      <c r="E193" s="17"/>
      <c r="F193" s="17"/>
      <c r="G193" s="17"/>
    </row>
    <row r="194">
      <c r="A194" s="18"/>
      <c r="B194" s="17"/>
      <c r="C194" s="17"/>
      <c r="D194" s="17"/>
      <c r="E194" s="17"/>
      <c r="F194" s="17"/>
      <c r="G194" s="17"/>
    </row>
    <row r="195">
      <c r="A195" s="18"/>
      <c r="B195" s="17"/>
      <c r="C195" s="17"/>
      <c r="D195" s="17"/>
      <c r="E195" s="17"/>
      <c r="F195" s="17"/>
      <c r="G195" s="17"/>
    </row>
    <row r="196">
      <c r="A196" s="18"/>
      <c r="B196" s="17"/>
      <c r="C196" s="17"/>
      <c r="D196" s="17"/>
      <c r="E196" s="17"/>
      <c r="F196" s="17"/>
      <c r="G196" s="17"/>
    </row>
    <row r="197">
      <c r="A197" s="18"/>
      <c r="B197" s="17"/>
      <c r="C197" s="17"/>
      <c r="D197" s="17"/>
      <c r="E197" s="17"/>
      <c r="F197" s="17"/>
      <c r="G197" s="17"/>
    </row>
    <row r="198">
      <c r="A198" s="18"/>
      <c r="B198" s="17"/>
      <c r="C198" s="17"/>
      <c r="D198" s="17"/>
      <c r="E198" s="17"/>
      <c r="F198" s="17"/>
      <c r="G198" s="17"/>
    </row>
    <row r="199">
      <c r="A199" s="18"/>
      <c r="B199" s="17"/>
      <c r="C199" s="17"/>
      <c r="D199" s="17"/>
      <c r="E199" s="17"/>
      <c r="F199" s="17"/>
      <c r="G199" s="17"/>
    </row>
    <row r="200">
      <c r="A200" s="18"/>
      <c r="B200" s="17"/>
      <c r="C200" s="17"/>
      <c r="D200" s="17"/>
      <c r="E200" s="17"/>
      <c r="F200" s="17"/>
      <c r="G200" s="17"/>
    </row>
    <row r="201">
      <c r="A201" s="18"/>
      <c r="B201" s="17"/>
      <c r="C201" s="17"/>
      <c r="D201" s="17"/>
      <c r="E201" s="17"/>
      <c r="F201" s="17"/>
      <c r="G201" s="17"/>
    </row>
    <row r="202">
      <c r="A202" s="18"/>
      <c r="B202" s="17"/>
      <c r="C202" s="17"/>
      <c r="D202" s="17"/>
      <c r="E202" s="17"/>
      <c r="F202" s="17"/>
      <c r="G202" s="17"/>
    </row>
    <row r="203">
      <c r="A203" s="18"/>
      <c r="B203" s="17"/>
      <c r="C203" s="17"/>
      <c r="D203" s="17"/>
      <c r="E203" s="17"/>
      <c r="F203" s="17"/>
      <c r="G203" s="17"/>
    </row>
    <row r="204">
      <c r="A204" s="18"/>
      <c r="B204" s="17"/>
      <c r="C204" s="17"/>
      <c r="D204" s="17"/>
      <c r="E204" s="17"/>
      <c r="F204" s="17"/>
      <c r="G204" s="17"/>
    </row>
    <row r="205">
      <c r="A205" s="18"/>
      <c r="B205" s="17"/>
      <c r="C205" s="17"/>
      <c r="D205" s="17"/>
      <c r="E205" s="17"/>
      <c r="F205" s="17"/>
      <c r="G205" s="17"/>
    </row>
    <row r="206">
      <c r="A206" s="18"/>
      <c r="B206" s="17"/>
      <c r="C206" s="17"/>
      <c r="D206" s="17"/>
      <c r="E206" s="17"/>
      <c r="F206" s="17"/>
      <c r="G206" s="17"/>
    </row>
    <row r="207">
      <c r="A207" s="18"/>
      <c r="B207" s="17"/>
      <c r="C207" s="17"/>
      <c r="D207" s="17"/>
      <c r="E207" s="17"/>
      <c r="F207" s="17"/>
      <c r="G207" s="17"/>
    </row>
    <row r="208">
      <c r="A208" s="18"/>
      <c r="B208" s="17"/>
      <c r="C208" s="17"/>
      <c r="D208" s="17"/>
      <c r="E208" s="17"/>
      <c r="F208" s="17"/>
      <c r="G208" s="17"/>
    </row>
    <row r="209">
      <c r="A209" s="18"/>
      <c r="B209" s="17"/>
      <c r="C209" s="17"/>
      <c r="D209" s="17"/>
      <c r="E209" s="17"/>
      <c r="F209" s="17"/>
      <c r="G209" s="17"/>
    </row>
    <row r="210">
      <c r="A210" s="18"/>
      <c r="B210" s="17"/>
      <c r="C210" s="17"/>
      <c r="D210" s="17"/>
      <c r="E210" s="17"/>
      <c r="F210" s="17"/>
      <c r="G210" s="17"/>
    </row>
    <row r="211">
      <c r="A211" s="18"/>
      <c r="B211" s="17"/>
      <c r="C211" s="17"/>
      <c r="D211" s="17"/>
      <c r="E211" s="17"/>
      <c r="F211" s="17"/>
      <c r="G211" s="17"/>
    </row>
    <row r="212">
      <c r="A212" s="18"/>
      <c r="B212" s="17"/>
      <c r="C212" s="17"/>
      <c r="D212" s="17"/>
      <c r="E212" s="17"/>
      <c r="F212" s="17"/>
      <c r="G212" s="17"/>
    </row>
    <row r="213">
      <c r="A213" s="18"/>
      <c r="B213" s="17"/>
      <c r="C213" s="17"/>
      <c r="D213" s="17"/>
      <c r="E213" s="17"/>
      <c r="F213" s="17"/>
      <c r="G213" s="17"/>
    </row>
    <row r="214">
      <c r="A214" s="18"/>
      <c r="B214" s="17"/>
      <c r="C214" s="17"/>
      <c r="D214" s="17"/>
      <c r="E214" s="17"/>
      <c r="F214" s="17"/>
      <c r="G214" s="17"/>
    </row>
    <row r="215">
      <c r="A215" s="18"/>
      <c r="B215" s="17"/>
      <c r="C215" s="17"/>
      <c r="D215" s="17"/>
      <c r="E215" s="17"/>
      <c r="F215" s="17"/>
      <c r="G215" s="17"/>
    </row>
    <row r="216">
      <c r="A216" s="18"/>
      <c r="B216" s="17"/>
      <c r="C216" s="17"/>
      <c r="D216" s="17"/>
      <c r="E216" s="17"/>
      <c r="F216" s="17"/>
      <c r="G216" s="17"/>
    </row>
    <row r="217">
      <c r="A217" s="18"/>
      <c r="B217" s="17"/>
      <c r="C217" s="17"/>
      <c r="D217" s="17"/>
      <c r="E217" s="17"/>
      <c r="F217" s="17"/>
      <c r="G217" s="17"/>
    </row>
    <row r="218">
      <c r="A218" s="18"/>
      <c r="B218" s="17"/>
      <c r="C218" s="17"/>
      <c r="D218" s="17"/>
      <c r="E218" s="17"/>
      <c r="F218" s="17"/>
      <c r="G218" s="17"/>
    </row>
    <row r="219">
      <c r="A219" s="18"/>
      <c r="B219" s="17"/>
      <c r="C219" s="17"/>
      <c r="D219" s="17"/>
      <c r="E219" s="17"/>
      <c r="F219" s="17"/>
      <c r="G219" s="17"/>
    </row>
    <row r="220">
      <c r="A220" s="18"/>
      <c r="B220" s="17"/>
      <c r="C220" s="17"/>
      <c r="D220" s="17"/>
      <c r="E220" s="17"/>
      <c r="F220" s="17"/>
      <c r="G220" s="17"/>
    </row>
    <row r="221">
      <c r="A221" s="18"/>
      <c r="B221" s="17"/>
      <c r="C221" s="17"/>
      <c r="D221" s="17"/>
      <c r="E221" s="17"/>
      <c r="F221" s="17"/>
      <c r="G221" s="17"/>
    </row>
    <row r="222">
      <c r="A222" s="18"/>
      <c r="B222" s="17"/>
      <c r="C222" s="17"/>
      <c r="D222" s="17"/>
      <c r="E222" s="17"/>
      <c r="F222" s="17"/>
      <c r="G222" s="17"/>
    </row>
    <row r="223">
      <c r="A223" s="18"/>
      <c r="B223" s="17"/>
      <c r="C223" s="17"/>
      <c r="D223" s="17"/>
      <c r="E223" s="17"/>
      <c r="F223" s="17"/>
      <c r="G223" s="17"/>
    </row>
    <row r="224">
      <c r="A224" s="18"/>
      <c r="B224" s="17"/>
      <c r="C224" s="17"/>
      <c r="D224" s="17"/>
      <c r="E224" s="17"/>
      <c r="F224" s="17"/>
      <c r="G224" s="17"/>
    </row>
    <row r="225">
      <c r="A225" s="18"/>
      <c r="B225" s="17"/>
      <c r="C225" s="17"/>
      <c r="D225" s="17"/>
      <c r="E225" s="17"/>
      <c r="F225" s="17"/>
      <c r="G225" s="17"/>
    </row>
    <row r="226">
      <c r="A226" s="18"/>
      <c r="B226" s="17"/>
      <c r="C226" s="17"/>
      <c r="D226" s="17"/>
      <c r="E226" s="17"/>
      <c r="F226" s="17"/>
      <c r="G226" s="17"/>
    </row>
    <row r="227">
      <c r="A227" s="18"/>
      <c r="B227" s="17"/>
      <c r="C227" s="17"/>
      <c r="D227" s="17"/>
      <c r="E227" s="17"/>
      <c r="F227" s="17"/>
      <c r="G227" s="17"/>
    </row>
    <row r="228">
      <c r="A228" s="18"/>
      <c r="B228" s="17"/>
      <c r="C228" s="17"/>
      <c r="D228" s="17"/>
      <c r="E228" s="17"/>
      <c r="F228" s="17"/>
      <c r="G228" s="17"/>
    </row>
    <row r="229">
      <c r="A229" s="18"/>
      <c r="B229" s="17"/>
      <c r="C229" s="17"/>
      <c r="D229" s="17"/>
      <c r="E229" s="17"/>
      <c r="F229" s="17"/>
      <c r="G229" s="17"/>
    </row>
    <row r="230">
      <c r="A230" s="18"/>
      <c r="B230" s="17"/>
      <c r="C230" s="17"/>
      <c r="D230" s="17"/>
      <c r="E230" s="17"/>
      <c r="F230" s="17"/>
      <c r="G230" s="17"/>
    </row>
    <row r="231">
      <c r="A231" s="18"/>
      <c r="B231" s="17"/>
      <c r="C231" s="17"/>
      <c r="D231" s="17"/>
      <c r="E231" s="17"/>
      <c r="F231" s="17"/>
      <c r="G231" s="17"/>
    </row>
    <row r="232">
      <c r="A232" s="18"/>
      <c r="B232" s="17"/>
      <c r="C232" s="17"/>
      <c r="D232" s="17"/>
      <c r="E232" s="17"/>
      <c r="F232" s="17"/>
      <c r="G232" s="17"/>
    </row>
    <row r="233">
      <c r="A233" s="18"/>
      <c r="B233" s="17"/>
      <c r="C233" s="17"/>
      <c r="D233" s="17"/>
      <c r="E233" s="17"/>
      <c r="F233" s="17"/>
      <c r="G233" s="17"/>
    </row>
    <row r="234">
      <c r="A234" s="18"/>
      <c r="B234" s="17"/>
      <c r="C234" s="17"/>
      <c r="D234" s="17"/>
      <c r="E234" s="17"/>
      <c r="F234" s="17"/>
      <c r="G234" s="17"/>
    </row>
    <row r="235">
      <c r="A235" s="18"/>
      <c r="B235" s="17"/>
      <c r="C235" s="17"/>
      <c r="D235" s="17"/>
      <c r="E235" s="17"/>
      <c r="F235" s="17"/>
      <c r="G235" s="17"/>
    </row>
    <row r="236">
      <c r="A236" s="18"/>
      <c r="B236" s="17"/>
      <c r="C236" s="17"/>
      <c r="D236" s="17"/>
      <c r="E236" s="17"/>
      <c r="F236" s="17"/>
      <c r="G236" s="17"/>
    </row>
    <row r="237">
      <c r="A237" s="18"/>
      <c r="B237" s="17"/>
      <c r="C237" s="17"/>
      <c r="D237" s="17"/>
      <c r="E237" s="17"/>
      <c r="F237" s="17"/>
      <c r="G237" s="17"/>
    </row>
    <row r="238">
      <c r="A238" s="18"/>
      <c r="B238" s="17"/>
      <c r="C238" s="17"/>
      <c r="D238" s="17"/>
      <c r="E238" s="17"/>
      <c r="F238" s="17"/>
      <c r="G238" s="17"/>
    </row>
    <row r="239">
      <c r="A239" s="18"/>
      <c r="B239" s="17"/>
      <c r="C239" s="17"/>
      <c r="D239" s="17"/>
      <c r="E239" s="17"/>
      <c r="F239" s="17"/>
      <c r="G239" s="17"/>
    </row>
    <row r="240">
      <c r="A240" s="18"/>
      <c r="B240" s="17"/>
      <c r="C240" s="17"/>
      <c r="D240" s="17"/>
      <c r="E240" s="17"/>
      <c r="F240" s="17"/>
      <c r="G240" s="17"/>
    </row>
    <row r="241">
      <c r="A241" s="18"/>
      <c r="B241" s="17"/>
      <c r="C241" s="17"/>
      <c r="D241" s="17"/>
      <c r="E241" s="17"/>
      <c r="F241" s="17"/>
      <c r="G241" s="17"/>
    </row>
    <row r="242">
      <c r="A242" s="18"/>
      <c r="B242" s="17"/>
      <c r="C242" s="17"/>
      <c r="D242" s="17"/>
      <c r="E242" s="17"/>
      <c r="F242" s="17"/>
      <c r="G242" s="17"/>
    </row>
    <row r="243">
      <c r="A243" s="18"/>
      <c r="B243" s="17"/>
      <c r="C243" s="17"/>
      <c r="D243" s="17"/>
      <c r="E243" s="17"/>
      <c r="F243" s="17"/>
      <c r="G243" s="17"/>
    </row>
    <row r="244">
      <c r="A244" s="18"/>
      <c r="B244" s="17"/>
      <c r="C244" s="17"/>
      <c r="D244" s="17"/>
      <c r="E244" s="17"/>
      <c r="F244" s="17"/>
      <c r="G244" s="17"/>
    </row>
    <row r="245">
      <c r="A245" s="18"/>
      <c r="B245" s="17"/>
      <c r="C245" s="17"/>
      <c r="D245" s="17"/>
      <c r="E245" s="17"/>
      <c r="F245" s="17"/>
      <c r="G245" s="17"/>
    </row>
    <row r="246">
      <c r="A246" s="18"/>
      <c r="B246" s="17"/>
      <c r="C246" s="17"/>
      <c r="D246" s="17"/>
      <c r="E246" s="17"/>
      <c r="F246" s="17"/>
      <c r="G246" s="17"/>
    </row>
    <row r="247">
      <c r="A247" s="18"/>
      <c r="B247" s="17"/>
      <c r="C247" s="17"/>
      <c r="D247" s="17"/>
      <c r="E247" s="17"/>
      <c r="F247" s="17"/>
      <c r="G247" s="17"/>
    </row>
    <row r="248">
      <c r="A248" s="18"/>
      <c r="B248" s="17"/>
      <c r="C248" s="17"/>
      <c r="D248" s="17"/>
      <c r="E248" s="17"/>
      <c r="F248" s="17"/>
      <c r="G248" s="17"/>
    </row>
    <row r="249">
      <c r="A249" s="18"/>
      <c r="B249" s="17"/>
      <c r="C249" s="17"/>
      <c r="D249" s="17"/>
      <c r="E249" s="17"/>
      <c r="F249" s="17"/>
      <c r="G249" s="17"/>
    </row>
    <row r="250">
      <c r="A250" s="18"/>
      <c r="B250" s="17"/>
      <c r="C250" s="17"/>
      <c r="D250" s="17"/>
      <c r="E250" s="17"/>
      <c r="F250" s="17"/>
      <c r="G250" s="17"/>
    </row>
    <row r="251">
      <c r="A251" s="18"/>
      <c r="B251" s="17"/>
      <c r="C251" s="17"/>
      <c r="D251" s="17"/>
      <c r="E251" s="17"/>
      <c r="F251" s="17"/>
      <c r="G251" s="17"/>
    </row>
    <row r="252">
      <c r="A252" s="18"/>
      <c r="B252" s="17"/>
      <c r="C252" s="17"/>
      <c r="D252" s="17"/>
      <c r="E252" s="17"/>
      <c r="F252" s="17"/>
      <c r="G252" s="17"/>
    </row>
    <row r="253">
      <c r="A253" s="18"/>
      <c r="B253" s="17"/>
      <c r="C253" s="17"/>
      <c r="D253" s="17"/>
      <c r="E253" s="17"/>
      <c r="F253" s="17"/>
      <c r="G253" s="17"/>
    </row>
    <row r="254">
      <c r="A254" s="18"/>
      <c r="B254" s="17"/>
      <c r="C254" s="17"/>
      <c r="D254" s="17"/>
      <c r="E254" s="17"/>
      <c r="F254" s="17"/>
      <c r="G254" s="17"/>
    </row>
    <row r="255">
      <c r="A255" s="18"/>
      <c r="B255" s="17"/>
      <c r="C255" s="17"/>
      <c r="D255" s="17"/>
      <c r="E255" s="17"/>
      <c r="F255" s="17"/>
      <c r="G255" s="17"/>
    </row>
    <row r="256">
      <c r="A256" s="18"/>
      <c r="B256" s="17"/>
      <c r="C256" s="17"/>
      <c r="D256" s="17"/>
      <c r="E256" s="17"/>
      <c r="F256" s="17"/>
      <c r="G256" s="17"/>
    </row>
    <row r="257">
      <c r="A257" s="18"/>
      <c r="B257" s="17"/>
      <c r="C257" s="17"/>
      <c r="D257" s="17"/>
      <c r="E257" s="17"/>
      <c r="F257" s="17"/>
      <c r="G257" s="17"/>
    </row>
    <row r="258">
      <c r="A258" s="18"/>
      <c r="B258" s="17"/>
      <c r="C258" s="17"/>
      <c r="D258" s="17"/>
      <c r="E258" s="17"/>
      <c r="F258" s="17"/>
      <c r="G258" s="17"/>
    </row>
    <row r="259">
      <c r="A259" s="18"/>
      <c r="B259" s="17"/>
      <c r="C259" s="17"/>
      <c r="D259" s="17"/>
      <c r="E259" s="17"/>
      <c r="F259" s="17"/>
      <c r="G259" s="17"/>
    </row>
    <row r="260">
      <c r="A260" s="18"/>
      <c r="B260" s="17"/>
      <c r="C260" s="17"/>
      <c r="D260" s="17"/>
      <c r="E260" s="17"/>
      <c r="F260" s="17"/>
      <c r="G260" s="17"/>
    </row>
    <row r="261">
      <c r="A261" s="18"/>
      <c r="B261" s="17"/>
      <c r="C261" s="17"/>
      <c r="D261" s="17"/>
      <c r="E261" s="17"/>
      <c r="F261" s="17"/>
      <c r="G261" s="17"/>
    </row>
    <row r="262">
      <c r="A262" s="18"/>
      <c r="B262" s="17"/>
      <c r="C262" s="17"/>
      <c r="D262" s="17"/>
      <c r="E262" s="17"/>
      <c r="F262" s="17"/>
      <c r="G262" s="17"/>
    </row>
    <row r="263">
      <c r="A263" s="18"/>
      <c r="B263" s="17"/>
      <c r="C263" s="17"/>
      <c r="D263" s="17"/>
      <c r="E263" s="17"/>
      <c r="F263" s="17"/>
      <c r="G263" s="17"/>
    </row>
    <row r="264">
      <c r="A264" s="18"/>
      <c r="B264" s="17"/>
      <c r="C264" s="17"/>
      <c r="D264" s="17"/>
      <c r="E264" s="17"/>
      <c r="F264" s="17"/>
      <c r="G264" s="17"/>
    </row>
    <row r="265">
      <c r="A265" s="18"/>
      <c r="B265" s="17"/>
      <c r="C265" s="17"/>
      <c r="D265" s="17"/>
      <c r="E265" s="17"/>
      <c r="F265" s="17"/>
      <c r="G265" s="17"/>
    </row>
    <row r="266">
      <c r="A266" s="18"/>
      <c r="B266" s="17"/>
      <c r="C266" s="17"/>
      <c r="D266" s="17"/>
      <c r="E266" s="17"/>
      <c r="F266" s="17"/>
      <c r="G266" s="17"/>
    </row>
    <row r="267">
      <c r="A267" s="18"/>
      <c r="B267" s="17"/>
      <c r="C267" s="17"/>
      <c r="D267" s="17"/>
      <c r="E267" s="17"/>
      <c r="F267" s="17"/>
      <c r="G267" s="17"/>
    </row>
    <row r="268">
      <c r="A268" s="18"/>
      <c r="B268" s="17"/>
      <c r="C268" s="17"/>
      <c r="D268" s="17"/>
      <c r="E268" s="17"/>
      <c r="F268" s="17"/>
      <c r="G268" s="17"/>
    </row>
    <row r="269">
      <c r="A269" s="18"/>
      <c r="B269" s="17"/>
      <c r="C269" s="17"/>
      <c r="D269" s="17"/>
      <c r="E269" s="17"/>
      <c r="F269" s="17"/>
      <c r="G269" s="17"/>
    </row>
    <row r="270">
      <c r="A270" s="18"/>
      <c r="B270" s="17"/>
      <c r="C270" s="17"/>
      <c r="D270" s="17"/>
      <c r="E270" s="17"/>
      <c r="F270" s="17"/>
      <c r="G270" s="17"/>
    </row>
    <row r="271">
      <c r="A271" s="18"/>
      <c r="B271" s="17"/>
      <c r="C271" s="17"/>
      <c r="D271" s="17"/>
      <c r="E271" s="17"/>
      <c r="F271" s="17"/>
      <c r="G271" s="17"/>
    </row>
    <row r="272">
      <c r="A272" s="18"/>
      <c r="B272" s="17"/>
      <c r="C272" s="17"/>
      <c r="D272" s="17"/>
      <c r="E272" s="17"/>
      <c r="F272" s="17"/>
      <c r="G272" s="17"/>
    </row>
    <row r="273">
      <c r="A273" s="18"/>
      <c r="B273" s="17"/>
      <c r="C273" s="17"/>
      <c r="D273" s="17"/>
      <c r="E273" s="17"/>
      <c r="F273" s="17"/>
      <c r="G273" s="17"/>
    </row>
    <row r="274">
      <c r="A274" s="18"/>
      <c r="B274" s="17"/>
      <c r="C274" s="17"/>
      <c r="D274" s="17"/>
      <c r="E274" s="17"/>
      <c r="F274" s="17"/>
      <c r="G274" s="17"/>
    </row>
    <row r="275">
      <c r="A275" s="18"/>
      <c r="B275" s="17"/>
      <c r="C275" s="17"/>
      <c r="D275" s="17"/>
      <c r="E275" s="17"/>
      <c r="F275" s="17"/>
      <c r="G275" s="17"/>
    </row>
    <row r="276">
      <c r="A276" s="18"/>
      <c r="B276" s="17"/>
      <c r="C276" s="17"/>
      <c r="D276" s="17"/>
      <c r="E276" s="17"/>
      <c r="F276" s="17"/>
      <c r="G276" s="17"/>
    </row>
    <row r="277">
      <c r="A277" s="18"/>
      <c r="B277" s="17"/>
      <c r="C277" s="17"/>
      <c r="D277" s="17"/>
      <c r="E277" s="17"/>
      <c r="F277" s="17"/>
      <c r="G277" s="17"/>
    </row>
    <row r="278">
      <c r="A278" s="18"/>
      <c r="B278" s="17"/>
      <c r="C278" s="17"/>
      <c r="D278" s="17"/>
      <c r="E278" s="17"/>
      <c r="F278" s="17"/>
      <c r="G278" s="17"/>
    </row>
    <row r="279">
      <c r="A279" s="18"/>
      <c r="B279" s="17"/>
      <c r="C279" s="17"/>
      <c r="D279" s="17"/>
      <c r="E279" s="17"/>
      <c r="F279" s="17"/>
      <c r="G279" s="17"/>
    </row>
    <row r="280">
      <c r="A280" s="18"/>
      <c r="B280" s="17"/>
      <c r="C280" s="17"/>
      <c r="D280" s="17"/>
      <c r="E280" s="17"/>
      <c r="F280" s="17"/>
      <c r="G280" s="17"/>
    </row>
    <row r="281">
      <c r="A281" s="18"/>
      <c r="B281" s="17"/>
      <c r="C281" s="17"/>
      <c r="D281" s="17"/>
      <c r="E281" s="17"/>
      <c r="F281" s="17"/>
      <c r="G281" s="17"/>
    </row>
    <row r="282">
      <c r="A282" s="18"/>
      <c r="B282" s="17"/>
      <c r="C282" s="17"/>
      <c r="D282" s="17"/>
      <c r="E282" s="17"/>
      <c r="F282" s="17"/>
      <c r="G282" s="17"/>
    </row>
    <row r="283">
      <c r="A283" s="18"/>
      <c r="B283" s="17"/>
      <c r="C283" s="17"/>
      <c r="D283" s="17"/>
      <c r="E283" s="17"/>
      <c r="F283" s="17"/>
      <c r="G283" s="17"/>
    </row>
    <row r="284">
      <c r="A284" s="18"/>
      <c r="B284" s="17"/>
      <c r="C284" s="17"/>
      <c r="D284" s="17"/>
      <c r="E284" s="17"/>
      <c r="F284" s="17"/>
      <c r="G284" s="17"/>
    </row>
    <row r="285">
      <c r="A285" s="18"/>
      <c r="B285" s="17"/>
      <c r="C285" s="17"/>
      <c r="D285" s="17"/>
      <c r="E285" s="17"/>
      <c r="F285" s="17"/>
      <c r="G285" s="17"/>
    </row>
    <row r="286">
      <c r="A286" s="18"/>
      <c r="B286" s="17"/>
      <c r="C286" s="17"/>
      <c r="D286" s="17"/>
      <c r="E286" s="17"/>
      <c r="F286" s="17"/>
      <c r="G286" s="17"/>
    </row>
    <row r="287">
      <c r="A287" s="18"/>
      <c r="B287" s="17"/>
      <c r="C287" s="17"/>
      <c r="D287" s="17"/>
      <c r="E287" s="17"/>
      <c r="F287" s="17"/>
      <c r="G287" s="17"/>
    </row>
    <row r="288">
      <c r="A288" s="18"/>
      <c r="B288" s="17"/>
      <c r="C288" s="17"/>
      <c r="D288" s="17"/>
      <c r="E288" s="17"/>
      <c r="F288" s="17"/>
      <c r="G288" s="17"/>
    </row>
    <row r="289">
      <c r="A289" s="18"/>
      <c r="B289" s="17"/>
      <c r="C289" s="17"/>
      <c r="D289" s="17"/>
      <c r="E289" s="17"/>
      <c r="F289" s="17"/>
      <c r="G289" s="17"/>
    </row>
    <row r="290">
      <c r="A290" s="18"/>
      <c r="B290" s="17"/>
      <c r="C290" s="17"/>
      <c r="D290" s="17"/>
      <c r="E290" s="17"/>
      <c r="F290" s="17"/>
      <c r="G290" s="17"/>
    </row>
    <row r="291">
      <c r="A291" s="18"/>
      <c r="B291" s="17"/>
      <c r="C291" s="17"/>
      <c r="D291" s="17"/>
      <c r="E291" s="17"/>
      <c r="F291" s="17"/>
      <c r="G291" s="17"/>
    </row>
    <row r="292">
      <c r="A292" s="18"/>
      <c r="B292" s="17"/>
      <c r="C292" s="17"/>
      <c r="D292" s="17"/>
      <c r="E292" s="17"/>
      <c r="F292" s="17"/>
      <c r="G292" s="17"/>
    </row>
    <row r="293">
      <c r="A293" s="18"/>
      <c r="B293" s="17"/>
      <c r="C293" s="17"/>
      <c r="D293" s="17"/>
      <c r="E293" s="17"/>
      <c r="F293" s="17"/>
      <c r="G293" s="17"/>
    </row>
    <row r="294">
      <c r="A294" s="18"/>
      <c r="B294" s="17"/>
      <c r="C294" s="17"/>
      <c r="D294" s="17"/>
      <c r="E294" s="17"/>
      <c r="F294" s="17"/>
      <c r="G294" s="17"/>
    </row>
    <row r="295">
      <c r="A295" s="18"/>
      <c r="B295" s="17"/>
      <c r="C295" s="17"/>
      <c r="D295" s="17"/>
      <c r="E295" s="17"/>
      <c r="F295" s="17"/>
      <c r="G295" s="17"/>
    </row>
    <row r="296">
      <c r="A296" s="18"/>
      <c r="B296" s="17"/>
      <c r="C296" s="17"/>
      <c r="D296" s="17"/>
      <c r="E296" s="17"/>
      <c r="F296" s="17"/>
      <c r="G296" s="17"/>
    </row>
    <row r="297">
      <c r="A297" s="18"/>
      <c r="B297" s="17"/>
      <c r="C297" s="17"/>
      <c r="D297" s="17"/>
      <c r="E297" s="17"/>
      <c r="F297" s="17"/>
      <c r="G297" s="17"/>
    </row>
    <row r="298">
      <c r="A298" s="18"/>
      <c r="B298" s="17"/>
      <c r="C298" s="17"/>
      <c r="D298" s="17"/>
      <c r="E298" s="17"/>
      <c r="F298" s="17"/>
      <c r="G298" s="17"/>
    </row>
    <row r="299">
      <c r="A299" s="18"/>
      <c r="B299" s="17"/>
      <c r="C299" s="17"/>
      <c r="D299" s="17"/>
      <c r="E299" s="17"/>
      <c r="F299" s="17"/>
      <c r="G299" s="17"/>
    </row>
    <row r="300">
      <c r="A300" s="18"/>
      <c r="B300" s="17"/>
      <c r="C300" s="17"/>
      <c r="D300" s="17"/>
      <c r="E300" s="17"/>
      <c r="F300" s="17"/>
      <c r="G300" s="17"/>
    </row>
    <row r="301">
      <c r="A301" s="18"/>
      <c r="B301" s="17"/>
      <c r="C301" s="17"/>
      <c r="D301" s="17"/>
      <c r="E301" s="17"/>
      <c r="F301" s="17"/>
      <c r="G301" s="17"/>
    </row>
    <row r="302">
      <c r="A302" s="18"/>
      <c r="B302" s="17"/>
      <c r="C302" s="17"/>
      <c r="D302" s="17"/>
      <c r="E302" s="17"/>
      <c r="F302" s="17"/>
      <c r="G302" s="17"/>
    </row>
    <row r="303">
      <c r="A303" s="18"/>
      <c r="B303" s="17"/>
      <c r="C303" s="17"/>
      <c r="D303" s="17"/>
      <c r="E303" s="17"/>
      <c r="F303" s="17"/>
      <c r="G303" s="17"/>
    </row>
    <row r="304">
      <c r="A304" s="18"/>
      <c r="B304" s="17"/>
      <c r="C304" s="17"/>
      <c r="D304" s="17"/>
      <c r="E304" s="17"/>
      <c r="F304" s="17"/>
      <c r="G304" s="17"/>
    </row>
    <row r="305">
      <c r="A305" s="18"/>
      <c r="B305" s="17"/>
      <c r="C305" s="17"/>
      <c r="D305" s="17"/>
      <c r="E305" s="17"/>
      <c r="F305" s="17"/>
      <c r="G305" s="17"/>
    </row>
    <row r="306">
      <c r="A306" s="18"/>
      <c r="B306" s="17"/>
      <c r="C306" s="17"/>
      <c r="D306" s="17"/>
      <c r="E306" s="17"/>
      <c r="F306" s="17"/>
      <c r="G306" s="17"/>
    </row>
    <row r="307">
      <c r="A307" s="18"/>
      <c r="B307" s="17"/>
      <c r="C307" s="17"/>
      <c r="D307" s="17"/>
      <c r="E307" s="17"/>
      <c r="F307" s="17"/>
      <c r="G307" s="17"/>
    </row>
    <row r="308">
      <c r="A308" s="18"/>
      <c r="B308" s="17"/>
      <c r="C308" s="17"/>
      <c r="D308" s="17"/>
      <c r="E308" s="17"/>
      <c r="F308" s="17"/>
      <c r="G308" s="17"/>
    </row>
    <row r="309">
      <c r="A309" s="18"/>
      <c r="B309" s="17"/>
      <c r="C309" s="17"/>
      <c r="D309" s="17"/>
      <c r="E309" s="17"/>
      <c r="F309" s="17"/>
      <c r="G309" s="17"/>
    </row>
    <row r="310">
      <c r="A310" s="18"/>
      <c r="B310" s="17"/>
      <c r="C310" s="17"/>
      <c r="D310" s="17"/>
      <c r="E310" s="17"/>
      <c r="F310" s="17"/>
      <c r="G310" s="17"/>
    </row>
    <row r="311">
      <c r="A311" s="18"/>
      <c r="B311" s="17"/>
      <c r="C311" s="17"/>
      <c r="D311" s="17"/>
      <c r="E311" s="17"/>
      <c r="F311" s="17"/>
      <c r="G311" s="17"/>
    </row>
    <row r="312">
      <c r="A312" s="18"/>
      <c r="B312" s="17"/>
      <c r="C312" s="17"/>
      <c r="D312" s="17"/>
      <c r="E312" s="17"/>
      <c r="F312" s="17"/>
      <c r="G312" s="17"/>
    </row>
    <row r="313">
      <c r="A313" s="18"/>
      <c r="B313" s="17"/>
      <c r="C313" s="17"/>
      <c r="D313" s="17"/>
      <c r="E313" s="17"/>
      <c r="F313" s="17"/>
      <c r="G313" s="17"/>
    </row>
    <row r="314">
      <c r="A314" s="18"/>
      <c r="B314" s="17"/>
      <c r="C314" s="17"/>
      <c r="D314" s="17"/>
      <c r="E314" s="17"/>
      <c r="F314" s="17"/>
      <c r="G314" s="17"/>
    </row>
    <row r="315">
      <c r="A315" s="18"/>
      <c r="B315" s="17"/>
      <c r="C315" s="17"/>
      <c r="D315" s="17"/>
      <c r="E315" s="17"/>
      <c r="F315" s="17"/>
      <c r="G315" s="17"/>
    </row>
    <row r="316">
      <c r="A316" s="18"/>
      <c r="B316" s="17"/>
      <c r="C316" s="17"/>
      <c r="D316" s="17"/>
      <c r="E316" s="17"/>
      <c r="F316" s="17"/>
      <c r="G316" s="17"/>
    </row>
    <row r="317">
      <c r="A317" s="18"/>
      <c r="B317" s="17"/>
      <c r="C317" s="17"/>
      <c r="D317" s="17"/>
      <c r="E317" s="17"/>
      <c r="F317" s="17"/>
      <c r="G317" s="17"/>
    </row>
    <row r="318">
      <c r="A318" s="18"/>
      <c r="B318" s="17"/>
      <c r="C318" s="17"/>
      <c r="D318" s="17"/>
      <c r="E318" s="17"/>
      <c r="F318" s="17"/>
      <c r="G318" s="17"/>
    </row>
    <row r="319">
      <c r="A319" s="18"/>
      <c r="B319" s="17"/>
      <c r="C319" s="17"/>
      <c r="D319" s="17"/>
      <c r="E319" s="17"/>
      <c r="F319" s="17"/>
      <c r="G319" s="17"/>
    </row>
    <row r="320">
      <c r="A320" s="18"/>
      <c r="B320" s="17"/>
      <c r="C320" s="17"/>
      <c r="D320" s="17"/>
      <c r="E320" s="17"/>
      <c r="F320" s="17"/>
      <c r="G320" s="17"/>
    </row>
    <row r="321">
      <c r="A321" s="18"/>
      <c r="B321" s="17"/>
      <c r="C321" s="17"/>
      <c r="D321" s="17"/>
      <c r="E321" s="17"/>
      <c r="F321" s="17"/>
      <c r="G321" s="17"/>
    </row>
    <row r="322">
      <c r="A322" s="18"/>
      <c r="B322" s="17"/>
      <c r="C322" s="17"/>
      <c r="D322" s="17"/>
      <c r="E322" s="17"/>
      <c r="F322" s="17"/>
      <c r="G322" s="17"/>
    </row>
    <row r="323">
      <c r="A323" s="18"/>
      <c r="B323" s="17"/>
      <c r="C323" s="17"/>
      <c r="D323" s="17"/>
      <c r="E323" s="17"/>
      <c r="F323" s="17"/>
      <c r="G323" s="17"/>
    </row>
    <row r="324">
      <c r="A324" s="18"/>
      <c r="B324" s="17"/>
      <c r="C324" s="17"/>
      <c r="D324" s="17"/>
      <c r="E324" s="17"/>
      <c r="F324" s="17"/>
      <c r="G324" s="17"/>
    </row>
    <row r="325">
      <c r="A325" s="18"/>
      <c r="B325" s="17"/>
      <c r="C325" s="17"/>
      <c r="D325" s="17"/>
      <c r="E325" s="17"/>
      <c r="F325" s="17"/>
      <c r="G325" s="17"/>
    </row>
    <row r="326">
      <c r="A326" s="18"/>
      <c r="B326" s="17"/>
      <c r="C326" s="17"/>
      <c r="D326" s="17"/>
      <c r="E326" s="17"/>
      <c r="F326" s="17"/>
      <c r="G326" s="17"/>
    </row>
    <row r="327">
      <c r="A327" s="18"/>
      <c r="B327" s="17"/>
      <c r="C327" s="17"/>
      <c r="D327" s="17"/>
      <c r="E327" s="17"/>
      <c r="F327" s="17"/>
      <c r="G327" s="17"/>
    </row>
    <row r="328">
      <c r="A328" s="18"/>
      <c r="B328" s="17"/>
      <c r="C328" s="17"/>
      <c r="D328" s="17"/>
      <c r="E328" s="17"/>
      <c r="F328" s="17"/>
      <c r="G328" s="17"/>
    </row>
    <row r="329">
      <c r="A329" s="18"/>
      <c r="B329" s="17"/>
      <c r="C329" s="17"/>
      <c r="D329" s="17"/>
      <c r="E329" s="17"/>
      <c r="F329" s="17"/>
      <c r="G329" s="17"/>
    </row>
    <row r="330">
      <c r="A330" s="18"/>
      <c r="B330" s="17"/>
      <c r="C330" s="17"/>
      <c r="D330" s="17"/>
      <c r="E330" s="17"/>
      <c r="F330" s="17"/>
      <c r="G330" s="17"/>
    </row>
    <row r="331">
      <c r="A331" s="18"/>
      <c r="B331" s="17"/>
      <c r="C331" s="17"/>
      <c r="D331" s="17"/>
      <c r="E331" s="17"/>
      <c r="F331" s="17"/>
      <c r="G331" s="17"/>
    </row>
    <row r="332">
      <c r="A332" s="18"/>
      <c r="B332" s="17"/>
      <c r="C332" s="17"/>
      <c r="D332" s="17"/>
      <c r="E332" s="17"/>
      <c r="F332" s="17"/>
      <c r="G332" s="17"/>
    </row>
    <row r="333">
      <c r="A333" s="18"/>
      <c r="B333" s="17"/>
      <c r="C333" s="17"/>
      <c r="D333" s="17"/>
      <c r="E333" s="17"/>
      <c r="F333" s="17"/>
      <c r="G333" s="17"/>
    </row>
    <row r="334">
      <c r="A334" s="18"/>
      <c r="B334" s="17"/>
      <c r="C334" s="17"/>
      <c r="D334" s="17"/>
      <c r="E334" s="17"/>
      <c r="F334" s="17"/>
      <c r="G334" s="17"/>
    </row>
    <row r="335">
      <c r="A335" s="18"/>
      <c r="B335" s="17"/>
      <c r="C335" s="17"/>
      <c r="D335" s="17"/>
      <c r="E335" s="17"/>
      <c r="F335" s="17"/>
      <c r="G335" s="17"/>
    </row>
    <row r="336">
      <c r="A336" s="18"/>
      <c r="B336" s="17"/>
      <c r="C336" s="17"/>
      <c r="D336" s="17"/>
      <c r="E336" s="17"/>
      <c r="F336" s="17"/>
      <c r="G336" s="17"/>
    </row>
    <row r="337">
      <c r="A337" s="18"/>
      <c r="B337" s="17"/>
      <c r="C337" s="17"/>
      <c r="D337" s="17"/>
      <c r="E337" s="17"/>
      <c r="F337" s="17"/>
      <c r="G337" s="17"/>
    </row>
    <row r="338">
      <c r="A338" s="18"/>
      <c r="B338" s="17"/>
      <c r="C338" s="17"/>
      <c r="D338" s="17"/>
      <c r="E338" s="17"/>
      <c r="F338" s="17"/>
      <c r="G338" s="17"/>
    </row>
    <row r="339">
      <c r="A339" s="18"/>
      <c r="B339" s="17"/>
      <c r="C339" s="17"/>
      <c r="D339" s="17"/>
      <c r="E339" s="17"/>
      <c r="F339" s="17"/>
      <c r="G339" s="17"/>
    </row>
    <row r="340">
      <c r="A340" s="18"/>
      <c r="B340" s="17"/>
      <c r="C340" s="17"/>
      <c r="D340" s="17"/>
      <c r="E340" s="17"/>
      <c r="F340" s="17"/>
      <c r="G340" s="17"/>
    </row>
    <row r="341">
      <c r="A341" s="18"/>
      <c r="B341" s="17"/>
      <c r="C341" s="17"/>
      <c r="D341" s="17"/>
      <c r="E341" s="17"/>
      <c r="F341" s="17"/>
      <c r="G341" s="17"/>
    </row>
    <row r="342">
      <c r="A342" s="18"/>
      <c r="B342" s="17"/>
      <c r="C342" s="17"/>
      <c r="D342" s="17"/>
      <c r="E342" s="17"/>
      <c r="F342" s="17"/>
      <c r="G342" s="17"/>
    </row>
    <row r="343">
      <c r="A343" s="18"/>
      <c r="B343" s="17"/>
      <c r="C343" s="17"/>
      <c r="D343" s="17"/>
      <c r="E343" s="17"/>
      <c r="F343" s="17"/>
      <c r="G343" s="17"/>
    </row>
    <row r="344">
      <c r="A344" s="18"/>
      <c r="B344" s="17"/>
      <c r="C344" s="17"/>
      <c r="D344" s="17"/>
      <c r="E344" s="17"/>
      <c r="F344" s="17"/>
      <c r="G344" s="17"/>
    </row>
    <row r="345">
      <c r="A345" s="18"/>
      <c r="B345" s="17"/>
      <c r="C345" s="17"/>
      <c r="D345" s="17"/>
      <c r="E345" s="17"/>
      <c r="F345" s="17"/>
      <c r="G345" s="17"/>
    </row>
    <row r="346">
      <c r="A346" s="18"/>
      <c r="B346" s="17"/>
      <c r="C346" s="17"/>
      <c r="D346" s="17"/>
      <c r="E346" s="17"/>
      <c r="F346" s="17"/>
      <c r="G346" s="17"/>
    </row>
    <row r="347">
      <c r="A347" s="18"/>
      <c r="B347" s="17"/>
      <c r="C347" s="17"/>
      <c r="D347" s="17"/>
      <c r="E347" s="17"/>
      <c r="F347" s="17"/>
      <c r="G347" s="17"/>
    </row>
    <row r="348">
      <c r="A348" s="18"/>
      <c r="B348" s="17"/>
      <c r="C348" s="17"/>
      <c r="D348" s="17"/>
      <c r="E348" s="17"/>
      <c r="F348" s="17"/>
      <c r="G348" s="17"/>
    </row>
    <row r="349">
      <c r="A349" s="18"/>
      <c r="B349" s="17"/>
      <c r="C349" s="17"/>
      <c r="D349" s="17"/>
      <c r="E349" s="17"/>
      <c r="F349" s="17"/>
      <c r="G349" s="17"/>
    </row>
    <row r="350">
      <c r="A350" s="18"/>
      <c r="B350" s="17"/>
      <c r="C350" s="17"/>
      <c r="D350" s="17"/>
      <c r="E350" s="17"/>
      <c r="F350" s="17"/>
      <c r="G350" s="17"/>
    </row>
    <row r="351">
      <c r="A351" s="18"/>
      <c r="B351" s="17"/>
      <c r="C351" s="17"/>
      <c r="D351" s="17"/>
      <c r="E351" s="17"/>
      <c r="F351" s="17"/>
      <c r="G351" s="17"/>
    </row>
    <row r="352">
      <c r="A352" s="18"/>
      <c r="B352" s="17"/>
      <c r="C352" s="17"/>
      <c r="D352" s="17"/>
      <c r="E352" s="17"/>
      <c r="F352" s="17"/>
      <c r="G352" s="17"/>
    </row>
    <row r="353">
      <c r="A353" s="18"/>
      <c r="B353" s="17"/>
      <c r="C353" s="17"/>
      <c r="D353" s="17"/>
      <c r="E353" s="17"/>
      <c r="F353" s="17"/>
      <c r="G353" s="17"/>
    </row>
    <row r="354">
      <c r="A354" s="18"/>
      <c r="B354" s="17"/>
      <c r="C354" s="17"/>
      <c r="D354" s="17"/>
      <c r="E354" s="17"/>
      <c r="F354" s="17"/>
      <c r="G354" s="17"/>
    </row>
    <row r="355">
      <c r="A355" s="18"/>
      <c r="B355" s="17"/>
      <c r="C355" s="17"/>
      <c r="D355" s="17"/>
      <c r="E355" s="17"/>
      <c r="F355" s="17"/>
      <c r="G355" s="17"/>
    </row>
    <row r="356">
      <c r="A356" s="18"/>
      <c r="B356" s="17"/>
      <c r="C356" s="17"/>
      <c r="D356" s="17"/>
      <c r="E356" s="17"/>
      <c r="F356" s="17"/>
      <c r="G356" s="17"/>
    </row>
    <row r="357">
      <c r="A357" s="18"/>
      <c r="B357" s="17"/>
      <c r="C357" s="17"/>
      <c r="D357" s="17"/>
      <c r="E357" s="17"/>
      <c r="F357" s="17"/>
      <c r="G357" s="17"/>
    </row>
    <row r="358">
      <c r="A358" s="18"/>
      <c r="B358" s="17"/>
      <c r="C358" s="17"/>
      <c r="D358" s="17"/>
      <c r="E358" s="17"/>
      <c r="F358" s="17"/>
      <c r="G358" s="17"/>
    </row>
    <row r="359">
      <c r="A359" s="18"/>
      <c r="B359" s="17"/>
      <c r="C359" s="17"/>
      <c r="D359" s="17"/>
      <c r="E359" s="17"/>
      <c r="F359" s="17"/>
      <c r="G359" s="17"/>
    </row>
    <row r="360">
      <c r="A360" s="18"/>
      <c r="B360" s="17"/>
      <c r="C360" s="17"/>
      <c r="D360" s="17"/>
      <c r="E360" s="17"/>
      <c r="F360" s="17"/>
      <c r="G360" s="17"/>
    </row>
    <row r="361">
      <c r="A361" s="18"/>
      <c r="B361" s="17"/>
      <c r="C361" s="17"/>
      <c r="D361" s="17"/>
      <c r="E361" s="17"/>
      <c r="F361" s="17"/>
      <c r="G361" s="17"/>
    </row>
    <row r="362">
      <c r="A362" s="18"/>
      <c r="B362" s="17"/>
      <c r="C362" s="17"/>
      <c r="D362" s="17"/>
      <c r="E362" s="17"/>
      <c r="F362" s="17"/>
      <c r="G362" s="17"/>
    </row>
    <row r="363">
      <c r="A363" s="18"/>
      <c r="B363" s="17"/>
      <c r="C363" s="17"/>
      <c r="D363" s="17"/>
      <c r="E363" s="17"/>
      <c r="F363" s="17"/>
      <c r="G363" s="17"/>
    </row>
    <row r="364">
      <c r="A364" s="18"/>
      <c r="B364" s="17"/>
      <c r="C364" s="17"/>
      <c r="D364" s="17"/>
      <c r="E364" s="17"/>
      <c r="F364" s="17"/>
      <c r="G364" s="17"/>
    </row>
    <row r="365">
      <c r="A365" s="18"/>
      <c r="B365" s="17"/>
      <c r="C365" s="17"/>
      <c r="D365" s="17"/>
      <c r="E365" s="17"/>
      <c r="F365" s="17"/>
      <c r="G365" s="17"/>
    </row>
    <row r="366">
      <c r="A366" s="18"/>
      <c r="B366" s="17"/>
      <c r="C366" s="17"/>
      <c r="D366" s="17"/>
      <c r="E366" s="17"/>
      <c r="F366" s="17"/>
      <c r="G366" s="17"/>
    </row>
    <row r="367">
      <c r="A367" s="18"/>
      <c r="B367" s="17"/>
      <c r="C367" s="17"/>
      <c r="D367" s="17"/>
      <c r="E367" s="17"/>
      <c r="F367" s="17"/>
      <c r="G367" s="17"/>
    </row>
    <row r="368">
      <c r="A368" s="18"/>
      <c r="B368" s="17"/>
      <c r="C368" s="17"/>
      <c r="D368" s="17"/>
      <c r="E368" s="17"/>
      <c r="F368" s="17"/>
      <c r="G368" s="17"/>
    </row>
    <row r="369">
      <c r="A369" s="18"/>
      <c r="B369" s="17"/>
      <c r="C369" s="17"/>
      <c r="D369" s="17"/>
      <c r="E369" s="17"/>
      <c r="F369" s="17"/>
      <c r="G369" s="17"/>
    </row>
    <row r="370">
      <c r="A370" s="18"/>
      <c r="B370" s="17"/>
      <c r="C370" s="17"/>
      <c r="D370" s="17"/>
      <c r="E370" s="17"/>
      <c r="F370" s="17"/>
      <c r="G370" s="17"/>
    </row>
    <row r="371">
      <c r="A371" s="18"/>
      <c r="B371" s="17"/>
      <c r="C371" s="17"/>
      <c r="D371" s="17"/>
      <c r="E371" s="17"/>
      <c r="F371" s="17"/>
      <c r="G371" s="17"/>
    </row>
    <row r="372">
      <c r="A372" s="18"/>
      <c r="B372" s="17"/>
      <c r="C372" s="17"/>
      <c r="D372" s="17"/>
      <c r="E372" s="17"/>
      <c r="F372" s="17"/>
      <c r="G372" s="17"/>
    </row>
    <row r="373">
      <c r="A373" s="18"/>
      <c r="B373" s="17"/>
      <c r="C373" s="17"/>
      <c r="D373" s="17"/>
      <c r="E373" s="17"/>
      <c r="F373" s="17"/>
      <c r="G373" s="17"/>
    </row>
    <row r="374">
      <c r="A374" s="18"/>
      <c r="B374" s="17"/>
      <c r="C374" s="17"/>
      <c r="D374" s="17"/>
      <c r="E374" s="17"/>
      <c r="F374" s="17"/>
      <c r="G374" s="17"/>
    </row>
    <row r="375">
      <c r="A375" s="18"/>
      <c r="B375" s="17"/>
      <c r="C375" s="17"/>
      <c r="D375" s="17"/>
      <c r="E375" s="17"/>
      <c r="F375" s="17"/>
      <c r="G375" s="17"/>
    </row>
    <row r="376">
      <c r="A376" s="18"/>
      <c r="B376" s="17"/>
      <c r="C376" s="17"/>
      <c r="D376" s="17"/>
      <c r="E376" s="17"/>
      <c r="F376" s="17"/>
      <c r="G376" s="17"/>
    </row>
    <row r="377">
      <c r="A377" s="18"/>
      <c r="B377" s="17"/>
      <c r="C377" s="17"/>
      <c r="D377" s="17"/>
      <c r="E377" s="17"/>
      <c r="F377" s="17"/>
      <c r="G377" s="17"/>
    </row>
    <row r="378">
      <c r="A378" s="18"/>
      <c r="B378" s="17"/>
      <c r="C378" s="17"/>
      <c r="D378" s="17"/>
      <c r="E378" s="17"/>
      <c r="F378" s="17"/>
      <c r="G378" s="17"/>
    </row>
    <row r="379">
      <c r="A379" s="18"/>
      <c r="B379" s="17"/>
      <c r="C379" s="17"/>
      <c r="D379" s="17"/>
      <c r="E379" s="17"/>
      <c r="F379" s="17"/>
      <c r="G379" s="17"/>
    </row>
    <row r="380">
      <c r="A380" s="18"/>
      <c r="B380" s="17"/>
      <c r="C380" s="17"/>
      <c r="D380" s="17"/>
      <c r="E380" s="17"/>
      <c r="F380" s="17"/>
      <c r="G380" s="17"/>
    </row>
    <row r="381">
      <c r="A381" s="18"/>
      <c r="B381" s="17"/>
      <c r="C381" s="17"/>
      <c r="D381" s="17"/>
      <c r="E381" s="17"/>
      <c r="F381" s="17"/>
      <c r="G381" s="17"/>
    </row>
    <row r="382">
      <c r="A382" s="18"/>
      <c r="B382" s="17"/>
      <c r="C382" s="17"/>
      <c r="D382" s="17"/>
      <c r="E382" s="17"/>
      <c r="F382" s="17"/>
      <c r="G382" s="17"/>
    </row>
    <row r="383">
      <c r="A383" s="18"/>
      <c r="B383" s="17"/>
      <c r="C383" s="17"/>
      <c r="D383" s="17"/>
      <c r="E383" s="17"/>
      <c r="F383" s="17"/>
      <c r="G383" s="17"/>
    </row>
    <row r="384">
      <c r="A384" s="18"/>
      <c r="B384" s="17"/>
      <c r="C384" s="17"/>
      <c r="D384" s="17"/>
      <c r="E384" s="17"/>
      <c r="F384" s="17"/>
      <c r="G384" s="17"/>
    </row>
    <row r="385">
      <c r="A385" s="18"/>
      <c r="B385" s="17"/>
      <c r="C385" s="17"/>
      <c r="D385" s="17"/>
      <c r="E385" s="17"/>
      <c r="F385" s="17"/>
      <c r="G385" s="17"/>
    </row>
    <row r="386">
      <c r="A386" s="18"/>
      <c r="B386" s="17"/>
      <c r="C386" s="17"/>
      <c r="D386" s="17"/>
      <c r="E386" s="17"/>
      <c r="F386" s="17"/>
      <c r="G386" s="17"/>
    </row>
    <row r="387">
      <c r="A387" s="18"/>
      <c r="B387" s="17"/>
      <c r="C387" s="17"/>
      <c r="D387" s="17"/>
      <c r="E387" s="17"/>
      <c r="F387" s="17"/>
      <c r="G387" s="17"/>
    </row>
    <row r="388">
      <c r="A388" s="18"/>
      <c r="B388" s="17"/>
      <c r="C388" s="17"/>
      <c r="D388" s="17"/>
      <c r="E388" s="17"/>
      <c r="F388" s="17"/>
      <c r="G388" s="17"/>
    </row>
    <row r="389">
      <c r="A389" s="18"/>
      <c r="B389" s="17"/>
      <c r="C389" s="17"/>
      <c r="D389" s="17"/>
      <c r="E389" s="17"/>
      <c r="F389" s="17"/>
      <c r="G389" s="17"/>
    </row>
    <row r="390">
      <c r="A390" s="18"/>
      <c r="B390" s="17"/>
      <c r="C390" s="17"/>
      <c r="D390" s="17"/>
      <c r="E390" s="17"/>
      <c r="F390" s="17"/>
      <c r="G390" s="17"/>
    </row>
    <row r="391">
      <c r="A391" s="18"/>
      <c r="B391" s="17"/>
      <c r="C391" s="17"/>
      <c r="D391" s="17"/>
      <c r="E391" s="17"/>
      <c r="F391" s="17"/>
      <c r="G391" s="17"/>
    </row>
    <row r="392">
      <c r="A392" s="18"/>
      <c r="B392" s="17"/>
      <c r="C392" s="17"/>
      <c r="D392" s="17"/>
      <c r="E392" s="17"/>
      <c r="F392" s="17"/>
      <c r="G392" s="17"/>
    </row>
    <row r="393">
      <c r="A393" s="18"/>
      <c r="B393" s="17"/>
      <c r="C393" s="17"/>
      <c r="D393" s="17"/>
      <c r="E393" s="17"/>
      <c r="F393" s="17"/>
      <c r="G393" s="17"/>
    </row>
    <row r="394">
      <c r="A394" s="18"/>
      <c r="B394" s="17"/>
      <c r="C394" s="17"/>
      <c r="D394" s="17"/>
      <c r="E394" s="17"/>
      <c r="F394" s="17"/>
      <c r="G394" s="17"/>
    </row>
    <row r="395">
      <c r="A395" s="18"/>
      <c r="B395" s="17"/>
      <c r="C395" s="17"/>
      <c r="D395" s="17"/>
      <c r="E395" s="17"/>
      <c r="F395" s="17"/>
      <c r="G395" s="17"/>
    </row>
    <row r="396">
      <c r="A396" s="18"/>
      <c r="B396" s="17"/>
      <c r="C396" s="17"/>
      <c r="D396" s="17"/>
      <c r="E396" s="17"/>
      <c r="F396" s="17"/>
      <c r="G396" s="17"/>
    </row>
    <row r="397">
      <c r="A397" s="18"/>
      <c r="B397" s="17"/>
      <c r="C397" s="17"/>
      <c r="D397" s="17"/>
      <c r="E397" s="17"/>
      <c r="F397" s="17"/>
      <c r="G397" s="17"/>
    </row>
    <row r="398">
      <c r="A398" s="18"/>
      <c r="B398" s="17"/>
      <c r="C398" s="17"/>
      <c r="D398" s="17"/>
      <c r="E398" s="17"/>
      <c r="F398" s="17"/>
      <c r="G398" s="17"/>
    </row>
    <row r="399">
      <c r="A399" s="18"/>
      <c r="B399" s="17"/>
      <c r="C399" s="17"/>
      <c r="D399" s="17"/>
      <c r="E399" s="17"/>
      <c r="F399" s="17"/>
      <c r="G399" s="17"/>
    </row>
    <row r="400">
      <c r="A400" s="18"/>
      <c r="B400" s="17"/>
      <c r="C400" s="17"/>
      <c r="D400" s="17"/>
      <c r="E400" s="17"/>
      <c r="F400" s="17"/>
      <c r="G400" s="17"/>
    </row>
    <row r="401">
      <c r="A401" s="18"/>
      <c r="B401" s="17"/>
      <c r="C401" s="17"/>
      <c r="D401" s="17"/>
      <c r="E401" s="17"/>
      <c r="F401" s="17"/>
      <c r="G401" s="17"/>
    </row>
    <row r="402">
      <c r="A402" s="18"/>
      <c r="B402" s="17"/>
      <c r="C402" s="17"/>
      <c r="D402" s="17"/>
      <c r="E402" s="17"/>
      <c r="F402" s="17"/>
      <c r="G402" s="17"/>
    </row>
    <row r="403">
      <c r="A403" s="18"/>
      <c r="B403" s="17"/>
      <c r="C403" s="17"/>
      <c r="D403" s="17"/>
      <c r="E403" s="17"/>
      <c r="F403" s="17"/>
      <c r="G403" s="17"/>
    </row>
    <row r="404">
      <c r="A404" s="18"/>
      <c r="B404" s="17"/>
      <c r="C404" s="17"/>
      <c r="D404" s="17"/>
      <c r="E404" s="17"/>
      <c r="F404" s="17"/>
      <c r="G404" s="17"/>
    </row>
    <row r="405">
      <c r="A405" s="18"/>
      <c r="B405" s="17"/>
      <c r="C405" s="17"/>
      <c r="D405" s="17"/>
      <c r="E405" s="17"/>
      <c r="F405" s="17"/>
      <c r="G405" s="17"/>
    </row>
    <row r="406">
      <c r="A406" s="18"/>
      <c r="B406" s="17"/>
      <c r="C406" s="17"/>
      <c r="D406" s="17"/>
      <c r="E406" s="17"/>
      <c r="F406" s="17"/>
      <c r="G406" s="17"/>
    </row>
    <row r="407">
      <c r="A407" s="18"/>
      <c r="B407" s="17"/>
      <c r="C407" s="17"/>
      <c r="D407" s="17"/>
      <c r="E407" s="17"/>
      <c r="F407" s="17"/>
      <c r="G407" s="17"/>
    </row>
    <row r="408">
      <c r="A408" s="18"/>
      <c r="B408" s="17"/>
      <c r="C408" s="17"/>
      <c r="D408" s="17"/>
      <c r="E408" s="17"/>
      <c r="F408" s="17"/>
      <c r="G408" s="17"/>
    </row>
    <row r="409">
      <c r="A409" s="18"/>
      <c r="B409" s="17"/>
      <c r="C409" s="17"/>
      <c r="D409" s="17"/>
      <c r="E409" s="17"/>
      <c r="F409" s="17"/>
      <c r="G409" s="17"/>
    </row>
    <row r="410">
      <c r="A410" s="18"/>
      <c r="B410" s="17"/>
      <c r="C410" s="17"/>
      <c r="D410" s="17"/>
      <c r="E410" s="17"/>
      <c r="F410" s="17"/>
      <c r="G410" s="17"/>
    </row>
    <row r="411">
      <c r="A411" s="18"/>
      <c r="B411" s="17"/>
      <c r="C411" s="17"/>
      <c r="D411" s="17"/>
      <c r="E411" s="17"/>
      <c r="F411" s="17"/>
      <c r="G411" s="17"/>
    </row>
    <row r="412">
      <c r="A412" s="18"/>
      <c r="B412" s="17"/>
      <c r="C412" s="17"/>
      <c r="D412" s="17"/>
      <c r="E412" s="17"/>
      <c r="F412" s="17"/>
      <c r="G412" s="17"/>
    </row>
    <row r="413">
      <c r="A413" s="18"/>
      <c r="B413" s="17"/>
      <c r="C413" s="17"/>
      <c r="D413" s="17"/>
      <c r="E413" s="17"/>
      <c r="F413" s="17"/>
      <c r="G413" s="17"/>
    </row>
    <row r="414">
      <c r="A414" s="18"/>
      <c r="B414" s="17"/>
      <c r="C414" s="17"/>
      <c r="D414" s="17"/>
      <c r="E414" s="17"/>
      <c r="F414" s="17"/>
      <c r="G414" s="17"/>
    </row>
    <row r="415">
      <c r="A415" s="18"/>
      <c r="B415" s="17"/>
      <c r="C415" s="17"/>
      <c r="D415" s="17"/>
      <c r="E415" s="17"/>
      <c r="F415" s="17"/>
      <c r="G415" s="17"/>
    </row>
    <row r="416">
      <c r="A416" s="18"/>
      <c r="B416" s="17"/>
      <c r="C416" s="17"/>
      <c r="D416" s="17"/>
      <c r="E416" s="17"/>
      <c r="F416" s="17"/>
      <c r="G416" s="17"/>
    </row>
    <row r="417">
      <c r="A417" s="18"/>
      <c r="B417" s="17"/>
      <c r="C417" s="17"/>
      <c r="D417" s="17"/>
      <c r="E417" s="17"/>
      <c r="F417" s="17"/>
      <c r="G417" s="17"/>
    </row>
    <row r="418">
      <c r="A418" s="18"/>
      <c r="B418" s="17"/>
      <c r="C418" s="17"/>
      <c r="D418" s="17"/>
      <c r="E418" s="17"/>
      <c r="F418" s="17"/>
      <c r="G418" s="17"/>
    </row>
    <row r="419">
      <c r="A419" s="18"/>
      <c r="B419" s="17"/>
      <c r="C419" s="17"/>
      <c r="D419" s="17"/>
      <c r="E419" s="17"/>
      <c r="F419" s="17"/>
      <c r="G419" s="17"/>
    </row>
    <row r="420">
      <c r="A420" s="18"/>
      <c r="B420" s="17"/>
      <c r="C420" s="17"/>
      <c r="D420" s="17"/>
      <c r="E420" s="17"/>
      <c r="F420" s="17"/>
      <c r="G420" s="17"/>
    </row>
    <row r="421">
      <c r="A421" s="18"/>
      <c r="B421" s="17"/>
      <c r="C421" s="17"/>
      <c r="D421" s="17"/>
      <c r="E421" s="17"/>
      <c r="F421" s="17"/>
      <c r="G421" s="17"/>
    </row>
    <row r="422">
      <c r="A422" s="18"/>
      <c r="B422" s="17"/>
      <c r="C422" s="17"/>
      <c r="D422" s="17"/>
      <c r="E422" s="17"/>
      <c r="F422" s="17"/>
      <c r="G422" s="17"/>
    </row>
    <row r="423">
      <c r="A423" s="18"/>
      <c r="B423" s="17"/>
      <c r="C423" s="17"/>
      <c r="D423" s="17"/>
      <c r="E423" s="17"/>
      <c r="F423" s="17"/>
      <c r="G423" s="17"/>
    </row>
    <row r="424">
      <c r="A424" s="18"/>
      <c r="B424" s="17"/>
      <c r="C424" s="17"/>
      <c r="D424" s="17"/>
      <c r="E424" s="17"/>
      <c r="F424" s="17"/>
      <c r="G424" s="17"/>
    </row>
    <row r="425">
      <c r="A425" s="18"/>
      <c r="B425" s="17"/>
      <c r="C425" s="17"/>
      <c r="D425" s="17"/>
      <c r="E425" s="17"/>
      <c r="F425" s="17"/>
      <c r="G425" s="17"/>
    </row>
    <row r="426">
      <c r="A426" s="18"/>
      <c r="B426" s="17"/>
      <c r="C426" s="17"/>
      <c r="D426" s="17"/>
      <c r="E426" s="17"/>
      <c r="F426" s="17"/>
      <c r="G426" s="17"/>
    </row>
    <row r="427">
      <c r="A427" s="18"/>
      <c r="B427" s="17"/>
      <c r="C427" s="17"/>
      <c r="D427" s="17"/>
      <c r="E427" s="17"/>
      <c r="F427" s="17"/>
      <c r="G427" s="17"/>
    </row>
    <row r="428">
      <c r="A428" s="18"/>
      <c r="B428" s="17"/>
      <c r="C428" s="17"/>
      <c r="D428" s="17"/>
      <c r="E428" s="17"/>
      <c r="F428" s="17"/>
      <c r="G428" s="17"/>
    </row>
    <row r="429">
      <c r="A429" s="18"/>
      <c r="B429" s="17"/>
      <c r="C429" s="17"/>
      <c r="D429" s="17"/>
      <c r="E429" s="17"/>
      <c r="F429" s="17"/>
      <c r="G429" s="17"/>
    </row>
    <row r="430">
      <c r="A430" s="18"/>
      <c r="B430" s="17"/>
      <c r="C430" s="17"/>
      <c r="D430" s="17"/>
      <c r="E430" s="17"/>
      <c r="F430" s="17"/>
      <c r="G430" s="17"/>
    </row>
    <row r="431">
      <c r="A431" s="18"/>
      <c r="B431" s="17"/>
      <c r="C431" s="17"/>
      <c r="D431" s="17"/>
      <c r="E431" s="17"/>
      <c r="F431" s="17"/>
      <c r="G431" s="17"/>
    </row>
    <row r="432">
      <c r="A432" s="18"/>
      <c r="B432" s="17"/>
      <c r="C432" s="17"/>
      <c r="D432" s="17"/>
      <c r="E432" s="17"/>
      <c r="F432" s="17"/>
      <c r="G432" s="17"/>
    </row>
    <row r="433">
      <c r="A433" s="18"/>
      <c r="B433" s="17"/>
      <c r="C433" s="17"/>
      <c r="D433" s="17"/>
      <c r="E433" s="17"/>
      <c r="F433" s="17"/>
      <c r="G433" s="17"/>
    </row>
    <row r="434">
      <c r="A434" s="18"/>
      <c r="B434" s="17"/>
      <c r="C434" s="17"/>
      <c r="D434" s="17"/>
      <c r="E434" s="17"/>
      <c r="F434" s="17"/>
      <c r="G434" s="17"/>
    </row>
    <row r="435">
      <c r="A435" s="18"/>
      <c r="B435" s="17"/>
      <c r="C435" s="17"/>
      <c r="D435" s="17"/>
      <c r="E435" s="17"/>
      <c r="F435" s="17"/>
      <c r="G435" s="17"/>
    </row>
    <row r="436">
      <c r="A436" s="18"/>
      <c r="B436" s="17"/>
      <c r="C436" s="17"/>
      <c r="D436" s="17"/>
      <c r="E436" s="17"/>
      <c r="F436" s="17"/>
      <c r="G436" s="17"/>
    </row>
    <row r="437">
      <c r="A437" s="18"/>
      <c r="B437" s="17"/>
      <c r="C437" s="17"/>
      <c r="D437" s="17"/>
      <c r="E437" s="17"/>
      <c r="F437" s="17"/>
      <c r="G437" s="17"/>
    </row>
    <row r="438">
      <c r="A438" s="18"/>
      <c r="B438" s="17"/>
      <c r="C438" s="17"/>
      <c r="D438" s="17"/>
      <c r="E438" s="17"/>
      <c r="F438" s="17"/>
      <c r="G438" s="17"/>
    </row>
    <row r="439">
      <c r="A439" s="18"/>
      <c r="B439" s="17"/>
      <c r="C439" s="17"/>
      <c r="D439" s="17"/>
      <c r="E439" s="17"/>
      <c r="F439" s="17"/>
      <c r="G439" s="17"/>
    </row>
    <row r="440">
      <c r="A440" s="18"/>
      <c r="B440" s="17"/>
      <c r="C440" s="17"/>
      <c r="D440" s="17"/>
      <c r="E440" s="17"/>
      <c r="F440" s="17"/>
      <c r="G440" s="17"/>
    </row>
    <row r="441">
      <c r="A441" s="18"/>
      <c r="B441" s="17"/>
      <c r="C441" s="17"/>
      <c r="D441" s="17"/>
      <c r="E441" s="17"/>
      <c r="F441" s="17"/>
      <c r="G441" s="17"/>
    </row>
    <row r="442">
      <c r="A442" s="18"/>
      <c r="B442" s="17"/>
      <c r="C442" s="17"/>
      <c r="D442" s="17"/>
      <c r="E442" s="17"/>
      <c r="F442" s="17"/>
      <c r="G442" s="17"/>
    </row>
    <row r="443">
      <c r="A443" s="18"/>
      <c r="B443" s="17"/>
      <c r="C443" s="17"/>
      <c r="D443" s="17"/>
      <c r="E443" s="17"/>
      <c r="F443" s="17"/>
      <c r="G443" s="17"/>
    </row>
    <row r="444">
      <c r="A444" s="18"/>
      <c r="B444" s="17"/>
      <c r="C444" s="17"/>
      <c r="D444" s="17"/>
      <c r="E444" s="17"/>
      <c r="F444" s="17"/>
      <c r="G444" s="17"/>
    </row>
    <row r="445">
      <c r="A445" s="18"/>
      <c r="B445" s="17"/>
      <c r="C445" s="17"/>
      <c r="D445" s="17"/>
      <c r="E445" s="17"/>
      <c r="F445" s="17"/>
      <c r="G445" s="17"/>
    </row>
    <row r="446">
      <c r="A446" s="18"/>
      <c r="B446" s="17"/>
      <c r="C446" s="17"/>
      <c r="D446" s="17"/>
      <c r="E446" s="17"/>
      <c r="F446" s="17"/>
      <c r="G446" s="17"/>
    </row>
    <row r="447">
      <c r="A447" s="18"/>
      <c r="B447" s="17"/>
      <c r="C447" s="17"/>
      <c r="D447" s="17"/>
      <c r="E447" s="17"/>
      <c r="F447" s="17"/>
      <c r="G447" s="17"/>
    </row>
    <row r="448">
      <c r="A448" s="18"/>
      <c r="B448" s="17"/>
      <c r="C448" s="17"/>
      <c r="D448" s="17"/>
      <c r="E448" s="17"/>
      <c r="F448" s="17"/>
      <c r="G448" s="17"/>
    </row>
    <row r="449">
      <c r="A449" s="18"/>
      <c r="B449" s="17"/>
      <c r="C449" s="17"/>
      <c r="D449" s="17"/>
      <c r="E449" s="17"/>
      <c r="F449" s="17"/>
      <c r="G449" s="17"/>
    </row>
    <row r="450">
      <c r="A450" s="18"/>
      <c r="B450" s="17"/>
      <c r="C450" s="17"/>
      <c r="D450" s="17"/>
      <c r="E450" s="17"/>
      <c r="F450" s="17"/>
      <c r="G450" s="17"/>
    </row>
    <row r="451">
      <c r="A451" s="18"/>
      <c r="B451" s="17"/>
      <c r="C451" s="17"/>
      <c r="D451" s="17"/>
      <c r="E451" s="17"/>
      <c r="F451" s="17"/>
      <c r="G451" s="17"/>
    </row>
    <row r="452">
      <c r="A452" s="18"/>
      <c r="B452" s="17"/>
      <c r="C452" s="17"/>
      <c r="D452" s="17"/>
      <c r="E452" s="17"/>
      <c r="F452" s="17"/>
      <c r="G452" s="17"/>
    </row>
    <row r="453">
      <c r="A453" s="18"/>
      <c r="B453" s="17"/>
      <c r="C453" s="17"/>
      <c r="D453" s="17"/>
      <c r="E453" s="17"/>
      <c r="F453" s="17"/>
      <c r="G453" s="17"/>
    </row>
    <row r="454">
      <c r="A454" s="18"/>
      <c r="B454" s="17"/>
      <c r="C454" s="17"/>
      <c r="D454" s="17"/>
      <c r="E454" s="17"/>
      <c r="F454" s="17"/>
      <c r="G454" s="17"/>
    </row>
    <row r="455">
      <c r="A455" s="18"/>
      <c r="B455" s="17"/>
      <c r="C455" s="17"/>
      <c r="D455" s="17"/>
      <c r="E455" s="17"/>
      <c r="F455" s="17"/>
      <c r="G455" s="17"/>
    </row>
    <row r="456">
      <c r="A456" s="18"/>
      <c r="B456" s="17"/>
      <c r="C456" s="17"/>
      <c r="D456" s="17"/>
      <c r="E456" s="17"/>
      <c r="F456" s="17"/>
      <c r="G456" s="17"/>
    </row>
    <row r="457">
      <c r="A457" s="18"/>
      <c r="B457" s="17"/>
      <c r="C457" s="17"/>
      <c r="D457" s="17"/>
      <c r="E457" s="17"/>
      <c r="F457" s="17"/>
      <c r="G457" s="17"/>
    </row>
    <row r="458">
      <c r="A458" s="18"/>
      <c r="B458" s="17"/>
      <c r="C458" s="17"/>
      <c r="D458" s="17"/>
      <c r="E458" s="17"/>
      <c r="F458" s="17"/>
      <c r="G458" s="17"/>
    </row>
    <row r="459">
      <c r="A459" s="18"/>
      <c r="B459" s="17"/>
      <c r="C459" s="17"/>
      <c r="D459" s="17"/>
      <c r="E459" s="17"/>
      <c r="F459" s="17"/>
      <c r="G459" s="17"/>
    </row>
    <row r="460">
      <c r="A460" s="18"/>
      <c r="B460" s="17"/>
      <c r="C460" s="17"/>
      <c r="D460" s="17"/>
      <c r="E460" s="17"/>
      <c r="F460" s="17"/>
      <c r="G460" s="17"/>
    </row>
    <row r="461">
      <c r="A461" s="18"/>
      <c r="B461" s="17"/>
      <c r="C461" s="17"/>
      <c r="D461" s="17"/>
      <c r="E461" s="17"/>
      <c r="F461" s="17"/>
      <c r="G461" s="17"/>
    </row>
    <row r="462">
      <c r="A462" s="18"/>
      <c r="B462" s="17"/>
      <c r="C462" s="17"/>
      <c r="D462" s="17"/>
      <c r="E462" s="17"/>
      <c r="F462" s="17"/>
      <c r="G462" s="17"/>
    </row>
    <row r="463">
      <c r="A463" s="18"/>
      <c r="B463" s="17"/>
      <c r="C463" s="17"/>
      <c r="D463" s="17"/>
      <c r="E463" s="17"/>
      <c r="F463" s="17"/>
      <c r="G463" s="17"/>
    </row>
    <row r="464">
      <c r="A464" s="18"/>
      <c r="B464" s="17"/>
      <c r="C464" s="17"/>
      <c r="D464" s="17"/>
      <c r="E464" s="17"/>
      <c r="F464" s="17"/>
      <c r="G464" s="17"/>
    </row>
    <row r="465">
      <c r="A465" s="18"/>
      <c r="B465" s="17"/>
      <c r="C465" s="17"/>
      <c r="D465" s="17"/>
      <c r="E465" s="17"/>
      <c r="F465" s="17"/>
      <c r="G465" s="17"/>
    </row>
    <row r="466">
      <c r="A466" s="18"/>
      <c r="B466" s="17"/>
      <c r="C466" s="17"/>
      <c r="D466" s="17"/>
      <c r="E466" s="17"/>
      <c r="F466" s="17"/>
      <c r="G466" s="17"/>
    </row>
    <row r="467">
      <c r="A467" s="18"/>
      <c r="B467" s="17"/>
      <c r="C467" s="17"/>
      <c r="D467" s="17"/>
      <c r="E467" s="17"/>
      <c r="F467" s="17"/>
      <c r="G467" s="17"/>
    </row>
    <row r="468">
      <c r="A468" s="18"/>
      <c r="B468" s="17"/>
      <c r="C468" s="17"/>
      <c r="D468" s="17"/>
      <c r="E468" s="17"/>
      <c r="F468" s="17"/>
      <c r="G468" s="17"/>
    </row>
    <row r="469">
      <c r="A469" s="18"/>
      <c r="B469" s="17"/>
      <c r="C469" s="17"/>
      <c r="D469" s="17"/>
      <c r="E469" s="17"/>
      <c r="F469" s="17"/>
      <c r="G469" s="17"/>
    </row>
    <row r="470">
      <c r="A470" s="18"/>
      <c r="B470" s="17"/>
      <c r="C470" s="17"/>
      <c r="D470" s="17"/>
      <c r="E470" s="17"/>
      <c r="F470" s="17"/>
      <c r="G470" s="17"/>
    </row>
    <row r="471">
      <c r="A471" s="18"/>
      <c r="B471" s="17"/>
      <c r="C471" s="17"/>
      <c r="D471" s="17"/>
      <c r="E471" s="17"/>
      <c r="F471" s="17"/>
      <c r="G471" s="17"/>
    </row>
    <row r="472">
      <c r="A472" s="18"/>
      <c r="B472" s="17"/>
      <c r="C472" s="17"/>
      <c r="D472" s="17"/>
      <c r="E472" s="17"/>
      <c r="F472" s="17"/>
      <c r="G472" s="17"/>
    </row>
    <row r="473">
      <c r="A473" s="18"/>
      <c r="B473" s="17"/>
      <c r="C473" s="17"/>
      <c r="D473" s="17"/>
      <c r="E473" s="17"/>
      <c r="F473" s="17"/>
      <c r="G473" s="17"/>
    </row>
    <row r="474">
      <c r="A474" s="18"/>
      <c r="B474" s="17"/>
      <c r="C474" s="17"/>
      <c r="D474" s="17"/>
      <c r="E474" s="17"/>
      <c r="F474" s="17"/>
      <c r="G474" s="17"/>
    </row>
    <row r="475">
      <c r="A475" s="18"/>
      <c r="B475" s="17"/>
      <c r="C475" s="17"/>
      <c r="D475" s="17"/>
      <c r="E475" s="17"/>
      <c r="F475" s="17"/>
      <c r="G475" s="17"/>
    </row>
    <row r="476">
      <c r="A476" s="18"/>
      <c r="B476" s="17"/>
      <c r="C476" s="17"/>
      <c r="D476" s="17"/>
      <c r="E476" s="17"/>
      <c r="F476" s="17"/>
      <c r="G476" s="17"/>
    </row>
    <row r="477">
      <c r="A477" s="18"/>
      <c r="B477" s="17"/>
      <c r="C477" s="17"/>
      <c r="D477" s="17"/>
      <c r="E477" s="17"/>
      <c r="F477" s="17"/>
      <c r="G477" s="17"/>
    </row>
    <row r="478">
      <c r="A478" s="18"/>
      <c r="B478" s="17"/>
      <c r="C478" s="17"/>
      <c r="D478" s="17"/>
      <c r="E478" s="17"/>
      <c r="F478" s="17"/>
      <c r="G478" s="17"/>
    </row>
    <row r="479">
      <c r="A479" s="18"/>
      <c r="B479" s="17"/>
      <c r="C479" s="17"/>
      <c r="D479" s="17"/>
      <c r="E479" s="17"/>
      <c r="F479" s="17"/>
      <c r="G479" s="17"/>
    </row>
    <row r="480">
      <c r="A480" s="18"/>
      <c r="B480" s="17"/>
      <c r="C480" s="17"/>
      <c r="D480" s="17"/>
      <c r="E480" s="17"/>
      <c r="F480" s="17"/>
      <c r="G480" s="17"/>
    </row>
    <row r="481">
      <c r="A481" s="18"/>
      <c r="B481" s="17"/>
      <c r="C481" s="17"/>
      <c r="D481" s="17"/>
      <c r="E481" s="17"/>
      <c r="F481" s="17"/>
      <c r="G481" s="17"/>
    </row>
    <row r="482">
      <c r="A482" s="18"/>
      <c r="B482" s="17"/>
      <c r="C482" s="17"/>
      <c r="D482" s="17"/>
      <c r="E482" s="17"/>
      <c r="F482" s="17"/>
      <c r="G482" s="17"/>
    </row>
    <row r="483">
      <c r="A483" s="18"/>
      <c r="B483" s="17"/>
      <c r="C483" s="17"/>
      <c r="D483" s="17"/>
      <c r="E483" s="17"/>
      <c r="F483" s="17"/>
      <c r="G483" s="17"/>
    </row>
    <row r="484">
      <c r="A484" s="18"/>
      <c r="B484" s="17"/>
      <c r="C484" s="17"/>
      <c r="D484" s="17"/>
      <c r="E484" s="17"/>
      <c r="F484" s="17"/>
      <c r="G484" s="17"/>
    </row>
    <row r="485">
      <c r="A485" s="18"/>
      <c r="B485" s="17"/>
      <c r="C485" s="17"/>
      <c r="D485" s="17"/>
      <c r="E485" s="17"/>
      <c r="F485" s="17"/>
      <c r="G485" s="17"/>
    </row>
    <row r="486">
      <c r="A486" s="18"/>
      <c r="B486" s="17"/>
      <c r="C486" s="17"/>
      <c r="D486" s="17"/>
      <c r="E486" s="17"/>
      <c r="F486" s="17"/>
      <c r="G486" s="17"/>
    </row>
    <row r="487">
      <c r="A487" s="18"/>
      <c r="B487" s="17"/>
      <c r="C487" s="17"/>
      <c r="D487" s="17"/>
      <c r="E487" s="17"/>
      <c r="F487" s="17"/>
      <c r="G487" s="17"/>
    </row>
    <row r="488">
      <c r="A488" s="18"/>
      <c r="B488" s="17"/>
      <c r="C488" s="17"/>
      <c r="D488" s="17"/>
      <c r="E488" s="17"/>
      <c r="F488" s="17"/>
      <c r="G488" s="17"/>
    </row>
    <row r="489">
      <c r="A489" s="18"/>
      <c r="B489" s="17"/>
      <c r="C489" s="17"/>
      <c r="D489" s="17"/>
      <c r="E489" s="17"/>
      <c r="F489" s="17"/>
      <c r="G489" s="17"/>
    </row>
    <row r="490">
      <c r="A490" s="18"/>
      <c r="B490" s="17"/>
      <c r="C490" s="17"/>
      <c r="D490" s="17"/>
      <c r="E490" s="17"/>
      <c r="F490" s="17"/>
      <c r="G490" s="17"/>
    </row>
    <row r="491">
      <c r="A491" s="18"/>
      <c r="B491" s="17"/>
      <c r="C491" s="17"/>
      <c r="D491" s="17"/>
      <c r="E491" s="17"/>
      <c r="F491" s="17"/>
      <c r="G491" s="17"/>
    </row>
    <row r="492">
      <c r="A492" s="18"/>
      <c r="B492" s="17"/>
      <c r="C492" s="17"/>
      <c r="D492" s="17"/>
      <c r="E492" s="17"/>
      <c r="F492" s="17"/>
      <c r="G492" s="17"/>
    </row>
    <row r="493">
      <c r="A493" s="18"/>
      <c r="B493" s="17"/>
      <c r="C493" s="17"/>
      <c r="D493" s="17"/>
      <c r="E493" s="17"/>
      <c r="F493" s="17"/>
      <c r="G493" s="17"/>
    </row>
    <row r="494">
      <c r="A494" s="18"/>
      <c r="B494" s="17"/>
      <c r="C494" s="17"/>
      <c r="D494" s="17"/>
      <c r="E494" s="17"/>
      <c r="F494" s="17"/>
      <c r="G494" s="17"/>
    </row>
    <row r="495">
      <c r="A495" s="18"/>
      <c r="B495" s="17"/>
      <c r="C495" s="17"/>
      <c r="D495" s="17"/>
      <c r="E495" s="17"/>
      <c r="F495" s="17"/>
      <c r="G495" s="17"/>
    </row>
    <row r="496">
      <c r="A496" s="18"/>
      <c r="B496" s="17"/>
      <c r="C496" s="17"/>
      <c r="D496" s="17"/>
      <c r="E496" s="17"/>
      <c r="F496" s="17"/>
      <c r="G496" s="17"/>
    </row>
    <row r="497">
      <c r="A497" s="18"/>
      <c r="B497" s="17"/>
      <c r="C497" s="17"/>
      <c r="D497" s="17"/>
      <c r="E497" s="17"/>
      <c r="F497" s="17"/>
      <c r="G497" s="17"/>
    </row>
    <row r="498">
      <c r="A498" s="18"/>
      <c r="B498" s="17"/>
      <c r="C498" s="17"/>
      <c r="D498" s="17"/>
      <c r="E498" s="17"/>
      <c r="F498" s="17"/>
      <c r="G498" s="17"/>
    </row>
    <row r="499">
      <c r="A499" s="18"/>
      <c r="B499" s="17"/>
      <c r="C499" s="17"/>
      <c r="D499" s="17"/>
      <c r="E499" s="17"/>
      <c r="F499" s="17"/>
      <c r="G499" s="17"/>
    </row>
    <row r="500">
      <c r="A500" s="18"/>
      <c r="B500" s="17"/>
      <c r="C500" s="17"/>
      <c r="D500" s="17"/>
      <c r="E500" s="17"/>
      <c r="F500" s="17"/>
      <c r="G500" s="17"/>
    </row>
    <row r="501">
      <c r="A501" s="18"/>
      <c r="B501" s="17"/>
      <c r="C501" s="17"/>
      <c r="D501" s="17"/>
      <c r="E501" s="17"/>
      <c r="F501" s="17"/>
      <c r="G501" s="17"/>
    </row>
    <row r="502">
      <c r="A502" s="18"/>
      <c r="B502" s="17"/>
      <c r="C502" s="17"/>
      <c r="D502" s="17"/>
      <c r="E502" s="17"/>
      <c r="F502" s="17"/>
      <c r="G502" s="17"/>
    </row>
    <row r="503">
      <c r="A503" s="18"/>
      <c r="B503" s="17"/>
      <c r="C503" s="17"/>
      <c r="D503" s="17"/>
      <c r="E503" s="17"/>
      <c r="F503" s="17"/>
      <c r="G503" s="17"/>
    </row>
    <row r="504">
      <c r="A504" s="18"/>
      <c r="B504" s="17"/>
      <c r="C504" s="17"/>
      <c r="D504" s="17"/>
      <c r="E504" s="17"/>
      <c r="F504" s="17"/>
      <c r="G504" s="17"/>
    </row>
    <row r="505">
      <c r="A505" s="18"/>
      <c r="B505" s="17"/>
      <c r="C505" s="17"/>
      <c r="D505" s="17"/>
      <c r="E505" s="17"/>
      <c r="F505" s="17"/>
      <c r="G505" s="17"/>
    </row>
    <row r="506">
      <c r="A506" s="18"/>
      <c r="B506" s="17"/>
      <c r="C506" s="17"/>
      <c r="D506" s="17"/>
      <c r="E506" s="17"/>
      <c r="F506" s="17"/>
      <c r="G506" s="17"/>
    </row>
    <row r="507">
      <c r="A507" s="18"/>
      <c r="B507" s="17"/>
      <c r="C507" s="17"/>
      <c r="D507" s="17"/>
      <c r="E507" s="17"/>
      <c r="F507" s="17"/>
      <c r="G507" s="17"/>
    </row>
    <row r="508">
      <c r="A508" s="18"/>
      <c r="B508" s="17"/>
      <c r="C508" s="17"/>
      <c r="D508" s="17"/>
      <c r="E508" s="17"/>
      <c r="F508" s="17"/>
      <c r="G508" s="17"/>
    </row>
    <row r="509">
      <c r="A509" s="18"/>
      <c r="B509" s="17"/>
      <c r="C509" s="17"/>
      <c r="D509" s="17"/>
      <c r="E509" s="17"/>
      <c r="F509" s="17"/>
      <c r="G509" s="17"/>
    </row>
    <row r="510">
      <c r="A510" s="18"/>
      <c r="B510" s="17"/>
      <c r="C510" s="17"/>
      <c r="D510" s="17"/>
      <c r="E510" s="17"/>
      <c r="F510" s="17"/>
      <c r="G510" s="17"/>
    </row>
    <row r="511">
      <c r="A511" s="18"/>
      <c r="B511" s="17"/>
      <c r="C511" s="17"/>
      <c r="D511" s="17"/>
      <c r="E511" s="17"/>
      <c r="F511" s="17"/>
      <c r="G511" s="17"/>
    </row>
    <row r="512">
      <c r="A512" s="18"/>
      <c r="B512" s="17"/>
      <c r="C512" s="17"/>
      <c r="D512" s="17"/>
      <c r="E512" s="17"/>
      <c r="F512" s="17"/>
      <c r="G512" s="17"/>
    </row>
    <row r="513">
      <c r="A513" s="18"/>
      <c r="B513" s="17"/>
      <c r="C513" s="17"/>
      <c r="D513" s="17"/>
      <c r="E513" s="17"/>
      <c r="F513" s="17"/>
      <c r="G513" s="17"/>
    </row>
    <row r="514">
      <c r="A514" s="18"/>
      <c r="B514" s="17"/>
      <c r="C514" s="17"/>
      <c r="D514" s="17"/>
      <c r="E514" s="17"/>
      <c r="F514" s="17"/>
      <c r="G514" s="17"/>
    </row>
    <row r="515">
      <c r="A515" s="18"/>
      <c r="B515" s="17"/>
      <c r="C515" s="17"/>
      <c r="D515" s="17"/>
      <c r="E515" s="17"/>
      <c r="F515" s="17"/>
      <c r="G515" s="17"/>
    </row>
    <row r="516">
      <c r="A516" s="18"/>
      <c r="B516" s="17"/>
      <c r="C516" s="17"/>
      <c r="D516" s="17"/>
      <c r="E516" s="17"/>
      <c r="F516" s="17"/>
      <c r="G516" s="17"/>
    </row>
    <row r="517">
      <c r="A517" s="18"/>
      <c r="B517" s="17"/>
      <c r="C517" s="17"/>
      <c r="D517" s="17"/>
      <c r="E517" s="17"/>
      <c r="F517" s="17"/>
      <c r="G517" s="17"/>
    </row>
    <row r="518">
      <c r="A518" s="18"/>
      <c r="B518" s="17"/>
      <c r="C518" s="17"/>
      <c r="D518" s="17"/>
      <c r="E518" s="17"/>
      <c r="F518" s="17"/>
      <c r="G518" s="17"/>
    </row>
    <row r="519">
      <c r="A519" s="18"/>
      <c r="B519" s="17"/>
      <c r="C519" s="17"/>
      <c r="D519" s="17"/>
      <c r="E519" s="17"/>
      <c r="F519" s="17"/>
      <c r="G519" s="17"/>
    </row>
    <row r="520">
      <c r="A520" s="18"/>
      <c r="B520" s="17"/>
      <c r="C520" s="17"/>
      <c r="D520" s="17"/>
      <c r="E520" s="17"/>
      <c r="F520" s="17"/>
      <c r="G520" s="17"/>
    </row>
    <row r="521">
      <c r="A521" s="18"/>
      <c r="B521" s="17"/>
      <c r="C521" s="17"/>
      <c r="D521" s="17"/>
      <c r="E521" s="17"/>
      <c r="F521" s="17"/>
      <c r="G521" s="17"/>
    </row>
    <row r="522">
      <c r="A522" s="18"/>
      <c r="B522" s="17"/>
      <c r="C522" s="17"/>
      <c r="D522" s="17"/>
      <c r="E522" s="17"/>
      <c r="F522" s="17"/>
      <c r="G522" s="17"/>
    </row>
    <row r="523">
      <c r="A523" s="18"/>
      <c r="B523" s="17"/>
      <c r="C523" s="17"/>
      <c r="D523" s="17"/>
      <c r="E523" s="17"/>
      <c r="F523" s="17"/>
      <c r="G523" s="17"/>
    </row>
    <row r="524">
      <c r="A524" s="18"/>
      <c r="B524" s="17"/>
      <c r="C524" s="17"/>
      <c r="D524" s="17"/>
      <c r="E524" s="17"/>
      <c r="F524" s="17"/>
      <c r="G524" s="17"/>
    </row>
    <row r="525">
      <c r="A525" s="18"/>
      <c r="B525" s="17"/>
      <c r="C525" s="17"/>
      <c r="D525" s="17"/>
      <c r="E525" s="17"/>
      <c r="F525" s="17"/>
      <c r="G525" s="17"/>
    </row>
    <row r="526">
      <c r="A526" s="18"/>
      <c r="B526" s="17"/>
      <c r="C526" s="17"/>
      <c r="D526" s="17"/>
      <c r="E526" s="17"/>
      <c r="F526" s="17"/>
      <c r="G526" s="17"/>
    </row>
    <row r="527">
      <c r="A527" s="18"/>
      <c r="B527" s="17"/>
      <c r="C527" s="17"/>
      <c r="D527" s="17"/>
      <c r="E527" s="17"/>
      <c r="F527" s="17"/>
      <c r="G527" s="17"/>
    </row>
    <row r="528">
      <c r="A528" s="18"/>
      <c r="B528" s="17"/>
      <c r="C528" s="17"/>
      <c r="D528" s="17"/>
      <c r="E528" s="17"/>
      <c r="F528" s="17"/>
      <c r="G528" s="17"/>
    </row>
    <row r="529">
      <c r="A529" s="18"/>
      <c r="B529" s="17"/>
      <c r="C529" s="17"/>
      <c r="D529" s="17"/>
      <c r="E529" s="17"/>
      <c r="F529" s="17"/>
      <c r="G529" s="17"/>
    </row>
    <row r="530">
      <c r="A530" s="18"/>
      <c r="B530" s="17"/>
      <c r="C530" s="17"/>
      <c r="D530" s="17"/>
      <c r="E530" s="17"/>
      <c r="F530" s="17"/>
      <c r="G530" s="17"/>
    </row>
    <row r="531">
      <c r="A531" s="18"/>
      <c r="B531" s="17"/>
      <c r="C531" s="17"/>
      <c r="D531" s="17"/>
      <c r="E531" s="17"/>
      <c r="F531" s="17"/>
      <c r="G531" s="17"/>
    </row>
    <row r="532">
      <c r="A532" s="18"/>
      <c r="B532" s="17"/>
      <c r="C532" s="17"/>
      <c r="D532" s="17"/>
      <c r="E532" s="17"/>
      <c r="F532" s="17"/>
      <c r="G532" s="17"/>
    </row>
    <row r="533">
      <c r="A533" s="18"/>
      <c r="B533" s="17"/>
      <c r="C533" s="17"/>
      <c r="D533" s="17"/>
      <c r="E533" s="17"/>
      <c r="F533" s="17"/>
      <c r="G533" s="17"/>
    </row>
    <row r="534">
      <c r="A534" s="18"/>
      <c r="B534" s="17"/>
      <c r="C534" s="17"/>
      <c r="D534" s="17"/>
      <c r="E534" s="17"/>
      <c r="F534" s="17"/>
      <c r="G534" s="17"/>
    </row>
    <row r="535">
      <c r="A535" s="18"/>
      <c r="B535" s="17"/>
      <c r="C535" s="17"/>
      <c r="D535" s="17"/>
      <c r="E535" s="17"/>
      <c r="F535" s="17"/>
      <c r="G535" s="17"/>
    </row>
    <row r="536">
      <c r="A536" s="18"/>
      <c r="B536" s="17"/>
      <c r="C536" s="17"/>
      <c r="D536" s="17"/>
      <c r="E536" s="17"/>
      <c r="F536" s="17"/>
      <c r="G536" s="17"/>
    </row>
    <row r="537">
      <c r="A537" s="18"/>
      <c r="B537" s="17"/>
      <c r="C537" s="17"/>
      <c r="D537" s="17"/>
      <c r="E537" s="17"/>
      <c r="F537" s="17"/>
      <c r="G537" s="17"/>
    </row>
    <row r="538">
      <c r="A538" s="18"/>
      <c r="B538" s="17"/>
      <c r="C538" s="17"/>
      <c r="D538" s="17"/>
      <c r="E538" s="17"/>
      <c r="F538" s="17"/>
      <c r="G538" s="17"/>
    </row>
    <row r="539">
      <c r="A539" s="18"/>
      <c r="B539" s="17"/>
      <c r="C539" s="17"/>
      <c r="D539" s="17"/>
      <c r="E539" s="17"/>
      <c r="F539" s="17"/>
      <c r="G539" s="17"/>
    </row>
    <row r="540">
      <c r="A540" s="18"/>
      <c r="B540" s="17"/>
      <c r="C540" s="17"/>
      <c r="D540" s="17"/>
      <c r="E540" s="17"/>
      <c r="F540" s="17"/>
      <c r="G540" s="17"/>
    </row>
    <row r="541">
      <c r="A541" s="18"/>
      <c r="B541" s="17"/>
      <c r="C541" s="17"/>
      <c r="D541" s="17"/>
      <c r="E541" s="17"/>
      <c r="F541" s="17"/>
      <c r="G541" s="17"/>
    </row>
    <row r="542">
      <c r="A542" s="18"/>
      <c r="B542" s="17"/>
      <c r="C542" s="17"/>
      <c r="D542" s="17"/>
      <c r="E542" s="17"/>
      <c r="F542" s="17"/>
      <c r="G542" s="17"/>
    </row>
    <row r="543">
      <c r="A543" s="18"/>
      <c r="B543" s="17"/>
      <c r="C543" s="17"/>
      <c r="D543" s="17"/>
      <c r="E543" s="17"/>
      <c r="F543" s="17"/>
      <c r="G543" s="17"/>
    </row>
    <row r="544">
      <c r="A544" s="18"/>
      <c r="B544" s="17"/>
      <c r="C544" s="17"/>
      <c r="D544" s="17"/>
      <c r="E544" s="17"/>
      <c r="F544" s="17"/>
      <c r="G544" s="17"/>
    </row>
    <row r="545">
      <c r="A545" s="18"/>
      <c r="B545" s="17"/>
      <c r="C545" s="17"/>
      <c r="D545" s="17"/>
      <c r="E545" s="17"/>
      <c r="F545" s="17"/>
      <c r="G545" s="17"/>
    </row>
    <row r="546">
      <c r="A546" s="18"/>
      <c r="B546" s="17"/>
      <c r="C546" s="17"/>
      <c r="D546" s="17"/>
      <c r="E546" s="17"/>
      <c r="F546" s="17"/>
      <c r="G546" s="17"/>
    </row>
    <row r="547">
      <c r="A547" s="18"/>
      <c r="B547" s="17"/>
      <c r="C547" s="17"/>
      <c r="D547" s="17"/>
      <c r="E547" s="17"/>
      <c r="F547" s="17"/>
      <c r="G547" s="17"/>
    </row>
    <row r="548">
      <c r="A548" s="18"/>
      <c r="B548" s="17"/>
      <c r="C548" s="17"/>
      <c r="D548" s="17"/>
      <c r="E548" s="17"/>
      <c r="F548" s="17"/>
      <c r="G548" s="17"/>
    </row>
    <row r="549">
      <c r="A549" s="18"/>
      <c r="B549" s="17"/>
      <c r="C549" s="17"/>
      <c r="D549" s="17"/>
      <c r="E549" s="17"/>
      <c r="F549" s="17"/>
      <c r="G549" s="17"/>
    </row>
    <row r="550">
      <c r="A550" s="18"/>
      <c r="B550" s="17"/>
      <c r="C550" s="17"/>
      <c r="D550" s="17"/>
      <c r="E550" s="17"/>
      <c r="F550" s="17"/>
      <c r="G550" s="17"/>
    </row>
    <row r="551">
      <c r="A551" s="18"/>
      <c r="B551" s="17"/>
      <c r="C551" s="17"/>
      <c r="D551" s="17"/>
      <c r="E551" s="17"/>
      <c r="F551" s="17"/>
      <c r="G551" s="17"/>
    </row>
    <row r="552">
      <c r="A552" s="18"/>
      <c r="B552" s="17"/>
      <c r="C552" s="17"/>
      <c r="D552" s="17"/>
      <c r="E552" s="17"/>
      <c r="F552" s="17"/>
      <c r="G552" s="17"/>
    </row>
    <row r="553">
      <c r="A553" s="18"/>
      <c r="B553" s="17"/>
      <c r="C553" s="17"/>
      <c r="D553" s="17"/>
      <c r="E553" s="17"/>
      <c r="F553" s="17"/>
      <c r="G553" s="17"/>
    </row>
    <row r="554">
      <c r="A554" s="18"/>
      <c r="B554" s="17"/>
      <c r="C554" s="17"/>
      <c r="D554" s="17"/>
      <c r="E554" s="17"/>
      <c r="F554" s="17"/>
      <c r="G554" s="17"/>
    </row>
    <row r="555">
      <c r="A555" s="18"/>
      <c r="B555" s="17"/>
      <c r="C555" s="17"/>
      <c r="D555" s="17"/>
      <c r="E555" s="17"/>
      <c r="F555" s="17"/>
      <c r="G555" s="17"/>
    </row>
    <row r="556">
      <c r="A556" s="18"/>
      <c r="B556" s="17"/>
      <c r="C556" s="17"/>
      <c r="D556" s="17"/>
      <c r="E556" s="17"/>
      <c r="F556" s="17"/>
      <c r="G556" s="17"/>
    </row>
    <row r="557">
      <c r="A557" s="18"/>
      <c r="B557" s="17"/>
      <c r="C557" s="17"/>
      <c r="D557" s="17"/>
      <c r="E557" s="17"/>
      <c r="F557" s="17"/>
      <c r="G557" s="17"/>
    </row>
    <row r="558">
      <c r="A558" s="18"/>
      <c r="B558" s="17"/>
      <c r="C558" s="17"/>
      <c r="D558" s="17"/>
      <c r="E558" s="17"/>
      <c r="F558" s="17"/>
      <c r="G558" s="17"/>
    </row>
    <row r="559">
      <c r="A559" s="18"/>
      <c r="B559" s="17"/>
      <c r="C559" s="17"/>
      <c r="D559" s="17"/>
      <c r="E559" s="17"/>
      <c r="F559" s="17"/>
      <c r="G559" s="17"/>
    </row>
    <row r="560">
      <c r="A560" s="18"/>
      <c r="B560" s="17"/>
      <c r="C560" s="17"/>
      <c r="D560" s="17"/>
      <c r="E560" s="17"/>
      <c r="F560" s="17"/>
      <c r="G560" s="17"/>
    </row>
    <row r="561">
      <c r="A561" s="18"/>
      <c r="B561" s="17"/>
      <c r="C561" s="17"/>
      <c r="D561" s="17"/>
      <c r="E561" s="17"/>
      <c r="F561" s="17"/>
      <c r="G561" s="17"/>
    </row>
    <row r="562">
      <c r="A562" s="18"/>
      <c r="B562" s="17"/>
      <c r="C562" s="17"/>
      <c r="D562" s="17"/>
      <c r="E562" s="17"/>
      <c r="F562" s="17"/>
      <c r="G562" s="17"/>
    </row>
    <row r="563">
      <c r="A563" s="18"/>
      <c r="B563" s="17"/>
      <c r="C563" s="17"/>
      <c r="D563" s="17"/>
      <c r="E563" s="17"/>
      <c r="F563" s="17"/>
      <c r="G563" s="17"/>
    </row>
    <row r="564">
      <c r="A564" s="18"/>
      <c r="B564" s="17"/>
      <c r="C564" s="17"/>
      <c r="D564" s="17"/>
      <c r="E564" s="17"/>
      <c r="F564" s="17"/>
      <c r="G564" s="17"/>
    </row>
    <row r="565">
      <c r="A565" s="18"/>
      <c r="B565" s="17"/>
      <c r="C565" s="17"/>
      <c r="D565" s="17"/>
      <c r="E565" s="17"/>
      <c r="F565" s="17"/>
      <c r="G565" s="17"/>
    </row>
    <row r="566">
      <c r="A566" s="18"/>
      <c r="B566" s="17"/>
      <c r="C566" s="17"/>
      <c r="D566" s="17"/>
      <c r="E566" s="17"/>
      <c r="F566" s="17"/>
      <c r="G566" s="17"/>
    </row>
    <row r="567">
      <c r="A567" s="18"/>
      <c r="B567" s="17"/>
      <c r="C567" s="17"/>
      <c r="D567" s="17"/>
      <c r="E567" s="17"/>
      <c r="F567" s="17"/>
      <c r="G567" s="17"/>
    </row>
    <row r="568">
      <c r="A568" s="18"/>
      <c r="B568" s="17"/>
      <c r="C568" s="17"/>
      <c r="D568" s="17"/>
      <c r="E568" s="17"/>
      <c r="F568" s="17"/>
      <c r="G568" s="17"/>
    </row>
    <row r="569">
      <c r="A569" s="18"/>
      <c r="B569" s="17"/>
      <c r="C569" s="17"/>
      <c r="D569" s="17"/>
      <c r="E569" s="17"/>
      <c r="F569" s="17"/>
      <c r="G569" s="17"/>
    </row>
    <row r="570">
      <c r="A570" s="18"/>
      <c r="B570" s="17"/>
      <c r="C570" s="17"/>
      <c r="D570" s="17"/>
      <c r="E570" s="17"/>
      <c r="F570" s="17"/>
      <c r="G570" s="17"/>
    </row>
    <row r="571">
      <c r="A571" s="18"/>
      <c r="B571" s="17"/>
      <c r="C571" s="17"/>
      <c r="D571" s="17"/>
      <c r="E571" s="17"/>
      <c r="F571" s="17"/>
      <c r="G571" s="17"/>
    </row>
    <row r="572">
      <c r="A572" s="18"/>
      <c r="B572" s="17"/>
      <c r="C572" s="17"/>
      <c r="D572" s="17"/>
      <c r="E572" s="17"/>
      <c r="F572" s="17"/>
      <c r="G572" s="17"/>
    </row>
    <row r="573">
      <c r="A573" s="18"/>
      <c r="B573" s="17"/>
      <c r="C573" s="17"/>
      <c r="D573" s="17"/>
      <c r="E573" s="17"/>
      <c r="F573" s="17"/>
      <c r="G573" s="17"/>
    </row>
    <row r="574">
      <c r="A574" s="18"/>
      <c r="B574" s="17"/>
      <c r="C574" s="17"/>
      <c r="D574" s="17"/>
      <c r="E574" s="17"/>
      <c r="F574" s="17"/>
      <c r="G574" s="17"/>
    </row>
    <row r="575">
      <c r="A575" s="18"/>
      <c r="B575" s="17"/>
      <c r="C575" s="17"/>
      <c r="D575" s="17"/>
      <c r="E575" s="17"/>
      <c r="F575" s="17"/>
      <c r="G575" s="17"/>
    </row>
    <row r="576">
      <c r="A576" s="18"/>
      <c r="B576" s="17"/>
      <c r="C576" s="17"/>
      <c r="D576" s="17"/>
      <c r="E576" s="17"/>
      <c r="F576" s="17"/>
      <c r="G576" s="17"/>
    </row>
    <row r="577">
      <c r="A577" s="18"/>
      <c r="B577" s="17"/>
      <c r="C577" s="17"/>
      <c r="D577" s="17"/>
      <c r="E577" s="17"/>
      <c r="F577" s="17"/>
      <c r="G577" s="17"/>
    </row>
    <row r="578">
      <c r="A578" s="18"/>
      <c r="B578" s="17"/>
      <c r="C578" s="17"/>
      <c r="D578" s="17"/>
      <c r="E578" s="17"/>
      <c r="F578" s="17"/>
      <c r="G578" s="17"/>
    </row>
    <row r="579">
      <c r="A579" s="18"/>
      <c r="B579" s="17"/>
      <c r="C579" s="17"/>
      <c r="D579" s="17"/>
      <c r="E579" s="17"/>
      <c r="F579" s="17"/>
      <c r="G579" s="17"/>
    </row>
    <row r="580">
      <c r="A580" s="18"/>
      <c r="B580" s="17"/>
      <c r="C580" s="17"/>
      <c r="D580" s="17"/>
      <c r="E580" s="17"/>
      <c r="F580" s="17"/>
      <c r="G580" s="17"/>
    </row>
    <row r="581">
      <c r="A581" s="18"/>
      <c r="B581" s="17"/>
      <c r="C581" s="17"/>
      <c r="D581" s="17"/>
      <c r="E581" s="17"/>
      <c r="F581" s="17"/>
      <c r="G581" s="17"/>
    </row>
    <row r="582">
      <c r="A582" s="18"/>
      <c r="B582" s="17"/>
      <c r="C582" s="17"/>
      <c r="D582" s="17"/>
      <c r="E582" s="17"/>
      <c r="F582" s="17"/>
      <c r="G582" s="17"/>
    </row>
    <row r="583">
      <c r="A583" s="18"/>
      <c r="B583" s="17"/>
      <c r="C583" s="17"/>
      <c r="D583" s="17"/>
      <c r="E583" s="17"/>
      <c r="F583" s="17"/>
      <c r="G583" s="17"/>
    </row>
    <row r="584">
      <c r="A584" s="18"/>
      <c r="B584" s="17"/>
      <c r="C584" s="17"/>
      <c r="D584" s="17"/>
      <c r="E584" s="17"/>
      <c r="F584" s="17"/>
      <c r="G584" s="17"/>
    </row>
    <row r="585">
      <c r="A585" s="18"/>
      <c r="B585" s="17"/>
      <c r="C585" s="17"/>
      <c r="D585" s="17"/>
      <c r="E585" s="17"/>
      <c r="F585" s="17"/>
      <c r="G585" s="17"/>
    </row>
    <row r="586">
      <c r="A586" s="18"/>
      <c r="B586" s="17"/>
      <c r="C586" s="17"/>
      <c r="D586" s="17"/>
      <c r="E586" s="17"/>
      <c r="F586" s="17"/>
      <c r="G586" s="17"/>
    </row>
    <row r="587">
      <c r="A587" s="18"/>
      <c r="B587" s="17"/>
      <c r="C587" s="17"/>
      <c r="D587" s="17"/>
      <c r="E587" s="17"/>
      <c r="F587" s="17"/>
      <c r="G587" s="17"/>
    </row>
    <row r="588">
      <c r="A588" s="18"/>
      <c r="B588" s="17"/>
      <c r="C588" s="17"/>
      <c r="D588" s="17"/>
      <c r="E588" s="17"/>
      <c r="F588" s="17"/>
      <c r="G588" s="17"/>
    </row>
    <row r="589">
      <c r="A589" s="18"/>
      <c r="B589" s="17"/>
      <c r="C589" s="17"/>
      <c r="D589" s="17"/>
      <c r="E589" s="17"/>
      <c r="F589" s="17"/>
      <c r="G589" s="17"/>
    </row>
    <row r="590">
      <c r="A590" s="18"/>
      <c r="B590" s="17"/>
      <c r="C590" s="17"/>
      <c r="D590" s="17"/>
      <c r="E590" s="17"/>
      <c r="F590" s="17"/>
      <c r="G590" s="17"/>
    </row>
    <row r="591">
      <c r="A591" s="18"/>
      <c r="B591" s="17"/>
      <c r="C591" s="17"/>
      <c r="D591" s="17"/>
      <c r="E591" s="17"/>
      <c r="F591" s="17"/>
      <c r="G591" s="17"/>
    </row>
    <row r="592">
      <c r="A592" s="18"/>
      <c r="B592" s="17"/>
      <c r="C592" s="17"/>
      <c r="D592" s="17"/>
      <c r="E592" s="17"/>
      <c r="F592" s="17"/>
      <c r="G592" s="17"/>
    </row>
    <row r="593">
      <c r="A593" s="18"/>
      <c r="B593" s="17"/>
      <c r="C593" s="17"/>
      <c r="D593" s="17"/>
      <c r="E593" s="17"/>
      <c r="F593" s="17"/>
      <c r="G593" s="17"/>
    </row>
    <row r="594">
      <c r="A594" s="18"/>
      <c r="B594" s="17"/>
      <c r="C594" s="17"/>
      <c r="D594" s="17"/>
      <c r="E594" s="17"/>
      <c r="F594" s="17"/>
      <c r="G594" s="17"/>
    </row>
    <row r="595">
      <c r="A595" s="18"/>
      <c r="B595" s="17"/>
      <c r="C595" s="17"/>
      <c r="D595" s="17"/>
      <c r="E595" s="17"/>
      <c r="F595" s="17"/>
      <c r="G595" s="17"/>
    </row>
    <row r="596">
      <c r="A596" s="18"/>
      <c r="B596" s="17"/>
      <c r="C596" s="17"/>
      <c r="D596" s="17"/>
      <c r="E596" s="17"/>
      <c r="F596" s="17"/>
      <c r="G596" s="17"/>
    </row>
    <row r="597">
      <c r="A597" s="18"/>
      <c r="B597" s="17"/>
      <c r="C597" s="17"/>
      <c r="D597" s="17"/>
      <c r="E597" s="17"/>
      <c r="F597" s="17"/>
      <c r="G597" s="17"/>
    </row>
    <row r="598">
      <c r="A598" s="18"/>
      <c r="B598" s="17"/>
      <c r="C598" s="17"/>
      <c r="D598" s="17"/>
      <c r="E598" s="17"/>
      <c r="F598" s="17"/>
      <c r="G598" s="17"/>
    </row>
    <row r="599">
      <c r="A599" s="18"/>
      <c r="B599" s="17"/>
      <c r="C599" s="17"/>
      <c r="D599" s="17"/>
      <c r="E599" s="17"/>
      <c r="F599" s="17"/>
      <c r="G599" s="17"/>
    </row>
    <row r="600">
      <c r="A600" s="18"/>
      <c r="B600" s="17"/>
      <c r="C600" s="17"/>
      <c r="D600" s="17"/>
      <c r="E600" s="17"/>
      <c r="F600" s="17"/>
      <c r="G600" s="17"/>
    </row>
    <row r="601">
      <c r="A601" s="18"/>
      <c r="B601" s="17"/>
      <c r="C601" s="17"/>
      <c r="D601" s="17"/>
      <c r="E601" s="17"/>
      <c r="F601" s="17"/>
      <c r="G601" s="17"/>
    </row>
    <row r="602">
      <c r="A602" s="18"/>
      <c r="B602" s="17"/>
      <c r="C602" s="17"/>
      <c r="D602" s="17"/>
      <c r="E602" s="17"/>
      <c r="F602" s="17"/>
      <c r="G602" s="17"/>
    </row>
    <row r="603">
      <c r="A603" s="18"/>
      <c r="B603" s="17"/>
      <c r="C603" s="17"/>
      <c r="D603" s="17"/>
      <c r="E603" s="17"/>
      <c r="F603" s="17"/>
      <c r="G603" s="17"/>
    </row>
    <row r="604">
      <c r="A604" s="18"/>
      <c r="B604" s="17"/>
      <c r="C604" s="17"/>
      <c r="D604" s="17"/>
      <c r="E604" s="17"/>
      <c r="F604" s="17"/>
      <c r="G604" s="17"/>
    </row>
    <row r="605">
      <c r="A605" s="18"/>
      <c r="B605" s="17"/>
      <c r="C605" s="17"/>
      <c r="D605" s="17"/>
      <c r="E605" s="17"/>
      <c r="F605" s="17"/>
      <c r="G605" s="17"/>
    </row>
    <row r="606">
      <c r="A606" s="18"/>
      <c r="B606" s="17"/>
      <c r="C606" s="17"/>
      <c r="D606" s="17"/>
      <c r="E606" s="17"/>
      <c r="F606" s="17"/>
      <c r="G606" s="17"/>
    </row>
    <row r="607">
      <c r="A607" s="18"/>
      <c r="B607" s="17"/>
      <c r="C607" s="17"/>
      <c r="D607" s="17"/>
      <c r="E607" s="17"/>
      <c r="F607" s="17"/>
      <c r="G607" s="17"/>
    </row>
    <row r="608">
      <c r="A608" s="18"/>
      <c r="B608" s="17"/>
      <c r="C608" s="17"/>
      <c r="D608" s="17"/>
      <c r="E608" s="17"/>
      <c r="F608" s="17"/>
      <c r="G608" s="17"/>
    </row>
    <row r="609">
      <c r="A609" s="18"/>
      <c r="B609" s="17"/>
      <c r="C609" s="17"/>
      <c r="D609" s="17"/>
      <c r="E609" s="17"/>
      <c r="F609" s="17"/>
      <c r="G609" s="17"/>
    </row>
    <row r="610">
      <c r="A610" s="18"/>
      <c r="B610" s="17"/>
      <c r="C610" s="17"/>
      <c r="D610" s="17"/>
      <c r="E610" s="17"/>
      <c r="F610" s="17"/>
      <c r="G610" s="17"/>
    </row>
    <row r="611">
      <c r="A611" s="18"/>
      <c r="B611" s="17"/>
      <c r="C611" s="17"/>
      <c r="D611" s="17"/>
      <c r="E611" s="17"/>
      <c r="F611" s="17"/>
      <c r="G611" s="17"/>
    </row>
    <row r="612">
      <c r="A612" s="18"/>
      <c r="B612" s="17"/>
      <c r="C612" s="17"/>
      <c r="D612" s="17"/>
      <c r="E612" s="17"/>
      <c r="F612" s="17"/>
      <c r="G612" s="17"/>
    </row>
    <row r="613">
      <c r="A613" s="18"/>
      <c r="B613" s="17"/>
      <c r="C613" s="17"/>
      <c r="D613" s="17"/>
      <c r="E613" s="17"/>
      <c r="F613" s="17"/>
      <c r="G613" s="17"/>
    </row>
    <row r="614">
      <c r="A614" s="18"/>
      <c r="B614" s="17"/>
      <c r="C614" s="17"/>
      <c r="D614" s="17"/>
      <c r="E614" s="17"/>
      <c r="F614" s="17"/>
      <c r="G614" s="17"/>
    </row>
    <row r="615">
      <c r="A615" s="18"/>
      <c r="B615" s="17"/>
      <c r="C615" s="17"/>
      <c r="D615" s="17"/>
      <c r="E615" s="17"/>
      <c r="F615" s="17"/>
      <c r="G615" s="17"/>
    </row>
    <row r="616">
      <c r="A616" s="18"/>
      <c r="B616" s="17"/>
      <c r="C616" s="17"/>
      <c r="D616" s="17"/>
      <c r="E616" s="17"/>
      <c r="F616" s="17"/>
      <c r="G616" s="17"/>
    </row>
    <row r="617">
      <c r="A617" s="18"/>
      <c r="B617" s="17"/>
      <c r="C617" s="17"/>
      <c r="D617" s="17"/>
      <c r="E617" s="17"/>
      <c r="F617" s="17"/>
      <c r="G617" s="17"/>
    </row>
    <row r="618">
      <c r="A618" s="18"/>
      <c r="B618" s="17"/>
      <c r="C618" s="17"/>
      <c r="D618" s="17"/>
      <c r="E618" s="17"/>
      <c r="F618" s="17"/>
      <c r="G618" s="17"/>
    </row>
    <row r="619">
      <c r="A619" s="18"/>
      <c r="B619" s="17"/>
      <c r="C619" s="17"/>
      <c r="D619" s="17"/>
      <c r="E619" s="17"/>
      <c r="F619" s="17"/>
      <c r="G619" s="17"/>
    </row>
    <row r="620">
      <c r="A620" s="18"/>
      <c r="B620" s="17"/>
      <c r="C620" s="17"/>
      <c r="D620" s="17"/>
      <c r="E620" s="17"/>
      <c r="F620" s="17"/>
      <c r="G620" s="17"/>
    </row>
    <row r="621">
      <c r="A621" s="18"/>
      <c r="B621" s="17"/>
      <c r="C621" s="17"/>
      <c r="D621" s="17"/>
      <c r="E621" s="17"/>
      <c r="F621" s="17"/>
      <c r="G621" s="17"/>
    </row>
    <row r="622">
      <c r="A622" s="18"/>
      <c r="B622" s="17"/>
      <c r="C622" s="17"/>
      <c r="D622" s="17"/>
      <c r="E622" s="17"/>
      <c r="F622" s="17"/>
      <c r="G622" s="17"/>
    </row>
    <row r="623">
      <c r="A623" s="18"/>
      <c r="B623" s="17"/>
      <c r="C623" s="17"/>
      <c r="D623" s="17"/>
      <c r="E623" s="17"/>
      <c r="F623" s="17"/>
      <c r="G623" s="17"/>
    </row>
    <row r="624">
      <c r="A624" s="18"/>
      <c r="B624" s="17"/>
      <c r="C624" s="17"/>
      <c r="D624" s="17"/>
      <c r="E624" s="17"/>
      <c r="F624" s="17"/>
      <c r="G624" s="17"/>
    </row>
    <row r="625">
      <c r="A625" s="18"/>
      <c r="B625" s="17"/>
      <c r="C625" s="17"/>
      <c r="D625" s="17"/>
      <c r="E625" s="17"/>
      <c r="F625" s="17"/>
      <c r="G625" s="17"/>
    </row>
    <row r="626">
      <c r="A626" s="18"/>
      <c r="B626" s="17"/>
      <c r="C626" s="17"/>
      <c r="D626" s="17"/>
      <c r="E626" s="17"/>
      <c r="F626" s="17"/>
      <c r="G626" s="17"/>
    </row>
    <row r="627">
      <c r="A627" s="18"/>
      <c r="B627" s="17"/>
      <c r="C627" s="17"/>
      <c r="D627" s="17"/>
      <c r="E627" s="17"/>
      <c r="F627" s="17"/>
      <c r="G627" s="17"/>
    </row>
    <row r="628">
      <c r="A628" s="18"/>
      <c r="B628" s="17"/>
      <c r="C628" s="17"/>
      <c r="D628" s="17"/>
      <c r="E628" s="17"/>
      <c r="F628" s="17"/>
      <c r="G628" s="17"/>
    </row>
    <row r="629">
      <c r="A629" s="18"/>
      <c r="B629" s="17"/>
      <c r="C629" s="17"/>
      <c r="D629" s="17"/>
      <c r="E629" s="17"/>
      <c r="F629" s="17"/>
      <c r="G629" s="17"/>
    </row>
    <row r="630">
      <c r="A630" s="18"/>
      <c r="B630" s="17"/>
      <c r="C630" s="17"/>
      <c r="D630" s="17"/>
      <c r="E630" s="17"/>
      <c r="F630" s="17"/>
      <c r="G630" s="17"/>
    </row>
    <row r="631">
      <c r="A631" s="18"/>
      <c r="B631" s="17"/>
      <c r="C631" s="17"/>
      <c r="D631" s="17"/>
      <c r="E631" s="17"/>
      <c r="F631" s="17"/>
      <c r="G631" s="17"/>
    </row>
    <row r="632">
      <c r="A632" s="18"/>
      <c r="B632" s="17"/>
      <c r="C632" s="17"/>
      <c r="D632" s="17"/>
      <c r="E632" s="17"/>
      <c r="F632" s="17"/>
      <c r="G632" s="17"/>
    </row>
    <row r="633">
      <c r="A633" s="18"/>
      <c r="B633" s="17"/>
      <c r="C633" s="17"/>
      <c r="D633" s="17"/>
      <c r="E633" s="17"/>
      <c r="F633" s="17"/>
      <c r="G633" s="17"/>
    </row>
    <row r="634">
      <c r="A634" s="18"/>
      <c r="B634" s="17"/>
      <c r="C634" s="17"/>
      <c r="D634" s="17"/>
      <c r="E634" s="17"/>
      <c r="F634" s="17"/>
      <c r="G634" s="17"/>
    </row>
    <row r="635">
      <c r="A635" s="18"/>
      <c r="B635" s="17"/>
      <c r="C635" s="17"/>
      <c r="D635" s="17"/>
      <c r="E635" s="17"/>
      <c r="F635" s="17"/>
      <c r="G635" s="17"/>
    </row>
    <row r="636">
      <c r="A636" s="18"/>
      <c r="B636" s="17"/>
      <c r="C636" s="17"/>
      <c r="D636" s="17"/>
      <c r="E636" s="17"/>
      <c r="F636" s="17"/>
      <c r="G636" s="17"/>
    </row>
    <row r="637">
      <c r="A637" s="18"/>
      <c r="B637" s="17"/>
      <c r="C637" s="17"/>
      <c r="D637" s="17"/>
      <c r="E637" s="17"/>
      <c r="F637" s="17"/>
      <c r="G637" s="17"/>
    </row>
    <row r="638">
      <c r="A638" s="18"/>
      <c r="B638" s="17"/>
      <c r="C638" s="17"/>
      <c r="D638" s="17"/>
      <c r="E638" s="17"/>
      <c r="F638" s="17"/>
      <c r="G638" s="17"/>
    </row>
    <row r="639">
      <c r="A639" s="18"/>
      <c r="B639" s="17"/>
      <c r="C639" s="17"/>
      <c r="D639" s="17"/>
      <c r="E639" s="17"/>
      <c r="F639" s="17"/>
      <c r="G639" s="17"/>
    </row>
    <row r="640">
      <c r="A640" s="18"/>
      <c r="B640" s="17"/>
      <c r="C640" s="17"/>
      <c r="D640" s="17"/>
      <c r="E640" s="17"/>
      <c r="F640" s="17"/>
      <c r="G640" s="17"/>
    </row>
    <row r="641">
      <c r="A641" s="18"/>
      <c r="B641" s="17"/>
      <c r="C641" s="17"/>
      <c r="D641" s="17"/>
      <c r="E641" s="17"/>
      <c r="F641" s="17"/>
      <c r="G641" s="17"/>
    </row>
    <row r="642">
      <c r="A642" s="18"/>
      <c r="B642" s="17"/>
      <c r="C642" s="17"/>
      <c r="D642" s="17"/>
      <c r="E642" s="17"/>
      <c r="F642" s="17"/>
      <c r="G642" s="17"/>
    </row>
    <row r="643">
      <c r="A643" s="18"/>
      <c r="B643" s="17"/>
      <c r="C643" s="17"/>
      <c r="D643" s="17"/>
      <c r="E643" s="17"/>
      <c r="F643" s="17"/>
      <c r="G643" s="17"/>
    </row>
    <row r="644">
      <c r="A644" s="18"/>
      <c r="B644" s="17"/>
      <c r="C644" s="17"/>
      <c r="D644" s="17"/>
      <c r="E644" s="17"/>
      <c r="F644" s="17"/>
      <c r="G644" s="17"/>
    </row>
    <row r="645">
      <c r="A645" s="18"/>
      <c r="B645" s="17"/>
      <c r="C645" s="17"/>
      <c r="D645" s="17"/>
      <c r="E645" s="17"/>
      <c r="F645" s="17"/>
      <c r="G645" s="17"/>
    </row>
    <row r="646">
      <c r="A646" s="18"/>
      <c r="B646" s="17"/>
      <c r="C646" s="17"/>
      <c r="D646" s="17"/>
      <c r="E646" s="17"/>
      <c r="F646" s="17"/>
      <c r="G646" s="17"/>
    </row>
    <row r="647">
      <c r="A647" s="18"/>
      <c r="B647" s="17"/>
      <c r="C647" s="17"/>
      <c r="D647" s="17"/>
      <c r="E647" s="17"/>
      <c r="F647" s="17"/>
      <c r="G647" s="17"/>
    </row>
    <row r="648">
      <c r="A648" s="18"/>
      <c r="B648" s="17"/>
      <c r="C648" s="17"/>
      <c r="D648" s="17"/>
      <c r="E648" s="17"/>
      <c r="F648" s="17"/>
      <c r="G648" s="17"/>
    </row>
    <row r="649">
      <c r="A649" s="18"/>
      <c r="B649" s="17"/>
      <c r="C649" s="17"/>
      <c r="D649" s="17"/>
      <c r="E649" s="17"/>
      <c r="F649" s="17"/>
      <c r="G649" s="17"/>
    </row>
    <row r="650">
      <c r="A650" s="18"/>
      <c r="B650" s="17"/>
      <c r="C650" s="17"/>
      <c r="D650" s="17"/>
      <c r="E650" s="17"/>
      <c r="F650" s="17"/>
      <c r="G650" s="17"/>
    </row>
    <row r="651">
      <c r="A651" s="18"/>
      <c r="B651" s="17"/>
      <c r="C651" s="17"/>
      <c r="D651" s="17"/>
      <c r="E651" s="17"/>
      <c r="F651" s="17"/>
      <c r="G651" s="17"/>
    </row>
    <row r="652">
      <c r="A652" s="18"/>
      <c r="B652" s="17"/>
      <c r="C652" s="17"/>
      <c r="D652" s="17"/>
      <c r="E652" s="17"/>
      <c r="F652" s="17"/>
      <c r="G652" s="17"/>
    </row>
    <row r="653">
      <c r="A653" s="18"/>
      <c r="B653" s="17"/>
      <c r="C653" s="17"/>
      <c r="D653" s="17"/>
      <c r="E653" s="17"/>
      <c r="F653" s="17"/>
      <c r="G653" s="17"/>
    </row>
    <row r="654">
      <c r="A654" s="18"/>
      <c r="B654" s="17"/>
      <c r="C654" s="17"/>
      <c r="D654" s="17"/>
      <c r="E654" s="17"/>
      <c r="F654" s="17"/>
      <c r="G654" s="17"/>
    </row>
    <row r="655">
      <c r="A655" s="18"/>
      <c r="B655" s="17"/>
      <c r="C655" s="17"/>
      <c r="D655" s="17"/>
      <c r="E655" s="17"/>
      <c r="F655" s="17"/>
      <c r="G655" s="17"/>
    </row>
    <row r="656">
      <c r="A656" s="18"/>
      <c r="B656" s="17"/>
      <c r="C656" s="17"/>
      <c r="D656" s="17"/>
      <c r="E656" s="17"/>
      <c r="F656" s="17"/>
      <c r="G656" s="17"/>
    </row>
    <row r="657">
      <c r="A657" s="18"/>
      <c r="B657" s="17"/>
      <c r="C657" s="17"/>
      <c r="D657" s="17"/>
      <c r="E657" s="17"/>
      <c r="F657" s="17"/>
      <c r="G657" s="17"/>
    </row>
    <row r="658">
      <c r="A658" s="18"/>
      <c r="B658" s="17"/>
      <c r="C658" s="17"/>
      <c r="D658" s="17"/>
      <c r="E658" s="17"/>
      <c r="F658" s="17"/>
      <c r="G658" s="17"/>
    </row>
    <row r="659">
      <c r="A659" s="18"/>
      <c r="B659" s="17"/>
      <c r="C659" s="17"/>
      <c r="D659" s="17"/>
      <c r="E659" s="17"/>
      <c r="F659" s="17"/>
      <c r="G659" s="17"/>
    </row>
    <row r="660">
      <c r="A660" s="18"/>
      <c r="B660" s="17"/>
      <c r="C660" s="17"/>
      <c r="D660" s="17"/>
      <c r="E660" s="17"/>
      <c r="F660" s="17"/>
      <c r="G660" s="17"/>
    </row>
    <row r="661">
      <c r="A661" s="18"/>
      <c r="B661" s="17"/>
      <c r="C661" s="17"/>
      <c r="D661" s="17"/>
      <c r="E661" s="17"/>
      <c r="F661" s="17"/>
      <c r="G661" s="17"/>
    </row>
    <row r="662">
      <c r="A662" s="18"/>
      <c r="B662" s="17"/>
      <c r="C662" s="17"/>
      <c r="D662" s="17"/>
      <c r="E662" s="17"/>
      <c r="F662" s="17"/>
      <c r="G662" s="17"/>
    </row>
    <row r="663">
      <c r="A663" s="18"/>
      <c r="B663" s="17"/>
      <c r="C663" s="17"/>
      <c r="D663" s="17"/>
      <c r="E663" s="17"/>
      <c r="F663" s="17"/>
      <c r="G663" s="17"/>
    </row>
    <row r="664">
      <c r="A664" s="18"/>
      <c r="B664" s="17"/>
      <c r="C664" s="17"/>
      <c r="D664" s="17"/>
      <c r="E664" s="17"/>
      <c r="F664" s="17"/>
      <c r="G664" s="17"/>
    </row>
    <row r="665">
      <c r="A665" s="18"/>
      <c r="B665" s="17"/>
      <c r="C665" s="17"/>
      <c r="D665" s="17"/>
      <c r="E665" s="17"/>
      <c r="F665" s="17"/>
      <c r="G665" s="17"/>
    </row>
    <row r="666">
      <c r="A666" s="18"/>
      <c r="B666" s="17"/>
      <c r="C666" s="17"/>
      <c r="D666" s="17"/>
      <c r="E666" s="17"/>
      <c r="F666" s="17"/>
      <c r="G666" s="17"/>
    </row>
    <row r="667">
      <c r="A667" s="18"/>
      <c r="B667" s="17"/>
      <c r="C667" s="17"/>
      <c r="D667" s="17"/>
      <c r="E667" s="17"/>
      <c r="F667" s="17"/>
      <c r="G667" s="17"/>
    </row>
    <row r="668">
      <c r="A668" s="18"/>
      <c r="B668" s="17"/>
      <c r="C668" s="17"/>
      <c r="D668" s="17"/>
      <c r="E668" s="17"/>
      <c r="F668" s="17"/>
      <c r="G668" s="17"/>
    </row>
    <row r="669">
      <c r="A669" s="18"/>
      <c r="B669" s="17"/>
      <c r="C669" s="17"/>
      <c r="D669" s="17"/>
      <c r="E669" s="17"/>
      <c r="F669" s="17"/>
      <c r="G669" s="17"/>
    </row>
    <row r="670">
      <c r="A670" s="18"/>
      <c r="B670" s="17"/>
      <c r="C670" s="17"/>
      <c r="D670" s="17"/>
      <c r="E670" s="17"/>
      <c r="F670" s="17"/>
      <c r="G670" s="17"/>
    </row>
    <row r="671">
      <c r="A671" s="18"/>
      <c r="B671" s="17"/>
      <c r="C671" s="17"/>
      <c r="D671" s="17"/>
      <c r="E671" s="17"/>
      <c r="F671" s="17"/>
      <c r="G671" s="17"/>
    </row>
    <row r="672">
      <c r="A672" s="18"/>
      <c r="B672" s="17"/>
      <c r="C672" s="17"/>
      <c r="D672" s="17"/>
      <c r="E672" s="17"/>
      <c r="F672" s="17"/>
      <c r="G672" s="17"/>
    </row>
    <row r="673">
      <c r="A673" s="18"/>
      <c r="B673" s="17"/>
      <c r="C673" s="17"/>
      <c r="D673" s="17"/>
      <c r="E673" s="17"/>
      <c r="F673" s="17"/>
      <c r="G673" s="17"/>
    </row>
    <row r="674">
      <c r="A674" s="18"/>
      <c r="B674" s="17"/>
      <c r="C674" s="17"/>
      <c r="D674" s="17"/>
      <c r="E674" s="17"/>
      <c r="F674" s="17"/>
      <c r="G674" s="17"/>
    </row>
    <row r="675">
      <c r="A675" s="18"/>
      <c r="B675" s="17"/>
      <c r="C675" s="17"/>
      <c r="D675" s="17"/>
      <c r="E675" s="17"/>
      <c r="F675" s="17"/>
      <c r="G675" s="17"/>
    </row>
    <row r="676">
      <c r="A676" s="18"/>
      <c r="B676" s="17"/>
      <c r="C676" s="17"/>
      <c r="D676" s="17"/>
      <c r="E676" s="17"/>
      <c r="F676" s="17"/>
      <c r="G676" s="17"/>
    </row>
    <row r="677">
      <c r="A677" s="18"/>
      <c r="B677" s="17"/>
      <c r="C677" s="17"/>
      <c r="D677" s="17"/>
      <c r="E677" s="17"/>
      <c r="F677" s="17"/>
      <c r="G677" s="17"/>
    </row>
    <row r="678">
      <c r="A678" s="18"/>
      <c r="B678" s="17"/>
      <c r="C678" s="17"/>
      <c r="D678" s="17"/>
      <c r="E678" s="17"/>
      <c r="F678" s="17"/>
      <c r="G678" s="17"/>
    </row>
    <row r="679">
      <c r="A679" s="18"/>
      <c r="B679" s="17"/>
      <c r="C679" s="17"/>
      <c r="D679" s="17"/>
      <c r="E679" s="17"/>
      <c r="F679" s="17"/>
      <c r="G679" s="17"/>
    </row>
    <row r="680">
      <c r="A680" s="18"/>
      <c r="B680" s="17"/>
      <c r="C680" s="17"/>
      <c r="D680" s="17"/>
      <c r="E680" s="17"/>
      <c r="F680" s="17"/>
      <c r="G680" s="17"/>
    </row>
    <row r="681">
      <c r="A681" s="18"/>
      <c r="B681" s="17"/>
      <c r="C681" s="17"/>
      <c r="D681" s="17"/>
      <c r="E681" s="17"/>
      <c r="F681" s="17"/>
      <c r="G681" s="17"/>
    </row>
    <row r="682">
      <c r="A682" s="18"/>
      <c r="B682" s="17"/>
      <c r="C682" s="17"/>
      <c r="D682" s="17"/>
      <c r="E682" s="17"/>
      <c r="F682" s="17"/>
      <c r="G682" s="17"/>
    </row>
    <row r="683">
      <c r="A683" s="18"/>
      <c r="B683" s="17"/>
      <c r="C683" s="17"/>
      <c r="D683" s="17"/>
      <c r="E683" s="17"/>
      <c r="F683" s="17"/>
      <c r="G683" s="17"/>
    </row>
    <row r="684">
      <c r="A684" s="18"/>
      <c r="B684" s="17"/>
      <c r="C684" s="17"/>
      <c r="D684" s="17"/>
      <c r="E684" s="17"/>
      <c r="F684" s="17"/>
      <c r="G684" s="17"/>
    </row>
    <row r="685">
      <c r="A685" s="18"/>
      <c r="B685" s="17"/>
      <c r="C685" s="17"/>
      <c r="D685" s="17"/>
      <c r="E685" s="17"/>
      <c r="F685" s="17"/>
      <c r="G685" s="17"/>
    </row>
    <row r="686">
      <c r="A686" s="18"/>
      <c r="B686" s="17"/>
      <c r="C686" s="17"/>
      <c r="D686" s="17"/>
      <c r="E686" s="17"/>
      <c r="F686" s="17"/>
      <c r="G686" s="17"/>
    </row>
    <row r="687">
      <c r="A687" s="18"/>
      <c r="B687" s="17"/>
      <c r="C687" s="17"/>
      <c r="D687" s="17"/>
      <c r="E687" s="17"/>
      <c r="F687" s="17"/>
      <c r="G687" s="17"/>
    </row>
    <row r="688">
      <c r="A688" s="18"/>
      <c r="B688" s="17"/>
      <c r="C688" s="17"/>
      <c r="D688" s="17"/>
      <c r="E688" s="17"/>
      <c r="F688" s="17"/>
      <c r="G688" s="17"/>
    </row>
    <row r="689">
      <c r="A689" s="18"/>
      <c r="B689" s="17"/>
      <c r="C689" s="17"/>
      <c r="D689" s="17"/>
      <c r="E689" s="17"/>
      <c r="F689" s="17"/>
      <c r="G689" s="17"/>
    </row>
    <row r="690">
      <c r="A690" s="18"/>
      <c r="B690" s="17"/>
      <c r="C690" s="17"/>
      <c r="D690" s="17"/>
      <c r="E690" s="17"/>
      <c r="F690" s="17"/>
      <c r="G690" s="17"/>
    </row>
    <row r="691">
      <c r="A691" s="18"/>
      <c r="B691" s="17"/>
      <c r="C691" s="17"/>
      <c r="D691" s="17"/>
      <c r="E691" s="17"/>
      <c r="F691" s="17"/>
      <c r="G691" s="17"/>
    </row>
    <row r="692">
      <c r="A692" s="18"/>
      <c r="B692" s="17"/>
      <c r="C692" s="17"/>
      <c r="D692" s="17"/>
      <c r="E692" s="17"/>
      <c r="F692" s="17"/>
      <c r="G692" s="17"/>
    </row>
    <row r="693">
      <c r="A693" s="18"/>
      <c r="B693" s="17"/>
      <c r="C693" s="17"/>
      <c r="D693" s="17"/>
      <c r="E693" s="17"/>
      <c r="F693" s="17"/>
      <c r="G693" s="17"/>
    </row>
    <row r="694">
      <c r="A694" s="18"/>
      <c r="B694" s="17"/>
      <c r="C694" s="17"/>
      <c r="D694" s="17"/>
      <c r="E694" s="17"/>
      <c r="F694" s="17"/>
      <c r="G694" s="17"/>
    </row>
    <row r="695">
      <c r="A695" s="18"/>
      <c r="B695" s="17"/>
      <c r="C695" s="17"/>
      <c r="D695" s="17"/>
      <c r="E695" s="17"/>
      <c r="F695" s="17"/>
      <c r="G695" s="17"/>
    </row>
    <row r="696">
      <c r="A696" s="18"/>
      <c r="B696" s="17"/>
      <c r="C696" s="17"/>
      <c r="D696" s="17"/>
      <c r="E696" s="17"/>
      <c r="F696" s="17"/>
      <c r="G696" s="17"/>
    </row>
    <row r="697">
      <c r="A697" s="18"/>
      <c r="B697" s="17"/>
      <c r="C697" s="17"/>
      <c r="D697" s="17"/>
      <c r="E697" s="17"/>
      <c r="F697" s="17"/>
      <c r="G697" s="17"/>
    </row>
    <row r="698">
      <c r="A698" s="18"/>
      <c r="B698" s="17"/>
      <c r="C698" s="17"/>
      <c r="D698" s="17"/>
      <c r="E698" s="17"/>
      <c r="F698" s="17"/>
      <c r="G698" s="17"/>
    </row>
    <row r="699">
      <c r="A699" s="18"/>
      <c r="B699" s="17"/>
      <c r="C699" s="17"/>
      <c r="D699" s="17"/>
      <c r="E699" s="17"/>
      <c r="F699" s="17"/>
      <c r="G699" s="17"/>
    </row>
    <row r="700">
      <c r="A700" s="18"/>
      <c r="B700" s="17"/>
      <c r="C700" s="17"/>
      <c r="D700" s="17"/>
      <c r="E700" s="17"/>
      <c r="F700" s="17"/>
      <c r="G700" s="17"/>
    </row>
    <row r="701">
      <c r="A701" s="18"/>
      <c r="B701" s="17"/>
      <c r="C701" s="17"/>
      <c r="D701" s="17"/>
      <c r="E701" s="17"/>
      <c r="F701" s="17"/>
      <c r="G701" s="17"/>
    </row>
    <row r="702">
      <c r="A702" s="18"/>
      <c r="B702" s="17"/>
      <c r="C702" s="17"/>
      <c r="D702" s="17"/>
      <c r="E702" s="17"/>
      <c r="F702" s="17"/>
      <c r="G702" s="17"/>
    </row>
    <row r="703">
      <c r="A703" s="18"/>
      <c r="B703" s="17"/>
      <c r="C703" s="17"/>
      <c r="D703" s="17"/>
      <c r="E703" s="17"/>
      <c r="F703" s="17"/>
      <c r="G703" s="17"/>
    </row>
    <row r="704">
      <c r="A704" s="18"/>
      <c r="B704" s="17"/>
      <c r="C704" s="17"/>
      <c r="D704" s="17"/>
      <c r="E704" s="17"/>
      <c r="F704" s="17"/>
      <c r="G704" s="17"/>
    </row>
    <row r="705">
      <c r="A705" s="18"/>
      <c r="B705" s="17"/>
      <c r="C705" s="17"/>
      <c r="D705" s="17"/>
      <c r="E705" s="17"/>
      <c r="F705" s="17"/>
      <c r="G705" s="17"/>
    </row>
    <row r="706">
      <c r="A706" s="18"/>
      <c r="B706" s="17"/>
      <c r="C706" s="17"/>
      <c r="D706" s="17"/>
      <c r="E706" s="17"/>
      <c r="F706" s="17"/>
      <c r="G706" s="17"/>
    </row>
    <row r="707">
      <c r="A707" s="18"/>
      <c r="B707" s="17"/>
      <c r="C707" s="17"/>
      <c r="D707" s="17"/>
      <c r="E707" s="17"/>
      <c r="F707" s="17"/>
      <c r="G707" s="17"/>
    </row>
    <row r="708">
      <c r="A708" s="18"/>
      <c r="B708" s="17"/>
      <c r="C708" s="17"/>
      <c r="D708" s="17"/>
      <c r="E708" s="17"/>
      <c r="F708" s="17"/>
      <c r="G708" s="17"/>
    </row>
    <row r="709">
      <c r="A709" s="18"/>
      <c r="B709" s="17"/>
      <c r="C709" s="17"/>
      <c r="D709" s="17"/>
      <c r="E709" s="17"/>
      <c r="F709" s="17"/>
      <c r="G709" s="17"/>
    </row>
    <row r="710">
      <c r="A710" s="18"/>
      <c r="B710" s="17"/>
      <c r="C710" s="17"/>
      <c r="D710" s="17"/>
      <c r="E710" s="17"/>
      <c r="F710" s="17"/>
      <c r="G710" s="17"/>
    </row>
    <row r="711">
      <c r="A711" s="18"/>
      <c r="B711" s="17"/>
      <c r="C711" s="17"/>
      <c r="D711" s="17"/>
      <c r="E711" s="17"/>
      <c r="F711" s="17"/>
      <c r="G711" s="17"/>
    </row>
    <row r="712">
      <c r="A712" s="18"/>
      <c r="B712" s="17"/>
      <c r="C712" s="17"/>
      <c r="D712" s="17"/>
      <c r="E712" s="17"/>
      <c r="F712" s="17"/>
      <c r="G712" s="17"/>
    </row>
    <row r="713">
      <c r="A713" s="18"/>
      <c r="B713" s="17"/>
      <c r="C713" s="17"/>
      <c r="D713" s="17"/>
      <c r="E713" s="17"/>
      <c r="F713" s="17"/>
      <c r="G713" s="17"/>
    </row>
    <row r="714">
      <c r="A714" s="18"/>
      <c r="B714" s="17"/>
      <c r="C714" s="17"/>
      <c r="D714" s="17"/>
      <c r="E714" s="17"/>
      <c r="F714" s="17"/>
      <c r="G714" s="17"/>
    </row>
    <row r="715">
      <c r="A715" s="18"/>
      <c r="B715" s="17"/>
      <c r="C715" s="17"/>
      <c r="D715" s="17"/>
      <c r="E715" s="17"/>
      <c r="F715" s="17"/>
      <c r="G715" s="17"/>
    </row>
    <row r="716">
      <c r="A716" s="18"/>
      <c r="B716" s="17"/>
      <c r="C716" s="17"/>
      <c r="D716" s="17"/>
      <c r="E716" s="17"/>
      <c r="F716" s="17"/>
      <c r="G716" s="17"/>
    </row>
    <row r="717">
      <c r="A717" s="18"/>
      <c r="B717" s="17"/>
      <c r="C717" s="17"/>
      <c r="D717" s="17"/>
      <c r="E717" s="17"/>
      <c r="F717" s="17"/>
      <c r="G717" s="17"/>
    </row>
    <row r="718">
      <c r="A718" s="18"/>
      <c r="B718" s="17"/>
      <c r="C718" s="17"/>
      <c r="D718" s="17"/>
      <c r="E718" s="17"/>
      <c r="F718" s="17"/>
      <c r="G718" s="17"/>
    </row>
    <row r="719">
      <c r="A719" s="18"/>
      <c r="B719" s="17"/>
      <c r="C719" s="17"/>
      <c r="D719" s="17"/>
      <c r="E719" s="17"/>
      <c r="F719" s="17"/>
      <c r="G719" s="17"/>
    </row>
    <row r="720">
      <c r="A720" s="18"/>
      <c r="B720" s="17"/>
      <c r="C720" s="17"/>
      <c r="D720" s="17"/>
      <c r="E720" s="17"/>
      <c r="F720" s="17"/>
      <c r="G720" s="17"/>
    </row>
    <row r="721">
      <c r="A721" s="18"/>
      <c r="B721" s="17"/>
      <c r="C721" s="17"/>
      <c r="D721" s="17"/>
      <c r="E721" s="17"/>
      <c r="F721" s="17"/>
      <c r="G721" s="17"/>
    </row>
    <row r="722">
      <c r="A722" s="18"/>
      <c r="B722" s="17"/>
      <c r="C722" s="17"/>
      <c r="D722" s="17"/>
      <c r="E722" s="17"/>
      <c r="F722" s="17"/>
      <c r="G722" s="17"/>
    </row>
    <row r="723">
      <c r="A723" s="18"/>
      <c r="B723" s="17"/>
      <c r="C723" s="17"/>
      <c r="D723" s="17"/>
      <c r="E723" s="17"/>
      <c r="F723" s="17"/>
      <c r="G723" s="17"/>
    </row>
    <row r="724">
      <c r="A724" s="18"/>
      <c r="B724" s="17"/>
      <c r="C724" s="17"/>
      <c r="D724" s="17"/>
      <c r="E724" s="17"/>
      <c r="F724" s="17"/>
      <c r="G724" s="17"/>
    </row>
    <row r="725">
      <c r="A725" s="18"/>
      <c r="B725" s="17"/>
      <c r="C725" s="17"/>
      <c r="D725" s="17"/>
      <c r="E725" s="17"/>
      <c r="F725" s="17"/>
      <c r="G725" s="17"/>
    </row>
    <row r="726">
      <c r="A726" s="18"/>
      <c r="B726" s="17"/>
      <c r="C726" s="17"/>
      <c r="D726" s="17"/>
      <c r="E726" s="17"/>
      <c r="F726" s="17"/>
      <c r="G726" s="17"/>
    </row>
    <row r="727">
      <c r="A727" s="18"/>
      <c r="B727" s="17"/>
      <c r="C727" s="17"/>
      <c r="D727" s="17"/>
      <c r="E727" s="17"/>
      <c r="F727" s="17"/>
      <c r="G727" s="17"/>
    </row>
    <row r="728">
      <c r="A728" s="18"/>
      <c r="B728" s="17"/>
      <c r="C728" s="17"/>
      <c r="D728" s="17"/>
      <c r="E728" s="17"/>
      <c r="F728" s="17"/>
      <c r="G728" s="17"/>
    </row>
    <row r="729">
      <c r="A729" s="18"/>
      <c r="B729" s="17"/>
      <c r="C729" s="17"/>
      <c r="D729" s="17"/>
      <c r="E729" s="17"/>
      <c r="F729" s="17"/>
      <c r="G729" s="17"/>
    </row>
    <row r="730">
      <c r="A730" s="18"/>
      <c r="B730" s="17"/>
      <c r="C730" s="17"/>
      <c r="D730" s="17"/>
      <c r="E730" s="17"/>
      <c r="F730" s="17"/>
      <c r="G730" s="17"/>
    </row>
    <row r="731">
      <c r="A731" s="18"/>
      <c r="B731" s="17"/>
      <c r="C731" s="17"/>
      <c r="D731" s="17"/>
      <c r="E731" s="17"/>
      <c r="F731" s="17"/>
      <c r="G731" s="17"/>
    </row>
    <row r="732">
      <c r="A732" s="18"/>
      <c r="B732" s="17"/>
      <c r="C732" s="17"/>
      <c r="D732" s="17"/>
      <c r="E732" s="17"/>
      <c r="F732" s="17"/>
      <c r="G732" s="17"/>
    </row>
    <row r="733">
      <c r="A733" s="18"/>
      <c r="B733" s="17"/>
      <c r="C733" s="17"/>
      <c r="D733" s="17"/>
      <c r="E733" s="17"/>
      <c r="F733" s="17"/>
      <c r="G733" s="17"/>
    </row>
    <row r="734">
      <c r="A734" s="18"/>
      <c r="B734" s="17"/>
      <c r="C734" s="17"/>
      <c r="D734" s="17"/>
      <c r="E734" s="17"/>
      <c r="F734" s="17"/>
      <c r="G734" s="17"/>
    </row>
    <row r="735">
      <c r="A735" s="18"/>
      <c r="B735" s="17"/>
      <c r="C735" s="17"/>
      <c r="D735" s="17"/>
      <c r="E735" s="17"/>
      <c r="F735" s="17"/>
      <c r="G735" s="17"/>
    </row>
    <row r="736">
      <c r="A736" s="18"/>
      <c r="B736" s="17"/>
      <c r="C736" s="17"/>
      <c r="D736" s="17"/>
      <c r="E736" s="17"/>
      <c r="F736" s="17"/>
      <c r="G736" s="17"/>
    </row>
    <row r="737">
      <c r="A737" s="18"/>
      <c r="B737" s="17"/>
      <c r="C737" s="17"/>
      <c r="D737" s="17"/>
      <c r="E737" s="17"/>
      <c r="F737" s="17"/>
      <c r="G737" s="17"/>
    </row>
    <row r="738">
      <c r="A738" s="18"/>
      <c r="B738" s="17"/>
      <c r="C738" s="17"/>
      <c r="D738" s="17"/>
      <c r="E738" s="17"/>
      <c r="F738" s="17"/>
      <c r="G738" s="17"/>
    </row>
    <row r="739">
      <c r="A739" s="18"/>
      <c r="B739" s="17"/>
      <c r="C739" s="17"/>
      <c r="D739" s="17"/>
      <c r="E739" s="17"/>
      <c r="F739" s="17"/>
      <c r="G739" s="17"/>
    </row>
    <row r="740">
      <c r="A740" s="18"/>
      <c r="B740" s="17"/>
      <c r="C740" s="17"/>
      <c r="D740" s="17"/>
      <c r="E740" s="17"/>
      <c r="F740" s="17"/>
      <c r="G740" s="17"/>
    </row>
    <row r="741">
      <c r="A741" s="18"/>
      <c r="B741" s="17"/>
      <c r="C741" s="17"/>
      <c r="D741" s="17"/>
      <c r="E741" s="17"/>
      <c r="F741" s="17"/>
      <c r="G741" s="17"/>
    </row>
    <row r="742">
      <c r="A742" s="18"/>
      <c r="B742" s="17"/>
      <c r="C742" s="17"/>
      <c r="D742" s="17"/>
      <c r="E742" s="17"/>
      <c r="F742" s="17"/>
      <c r="G742" s="17"/>
    </row>
    <row r="743">
      <c r="A743" s="18"/>
      <c r="B743" s="17"/>
      <c r="C743" s="17"/>
      <c r="D743" s="17"/>
      <c r="E743" s="17"/>
      <c r="F743" s="17"/>
      <c r="G743" s="17"/>
    </row>
    <row r="744">
      <c r="A744" s="18"/>
      <c r="B744" s="17"/>
      <c r="C744" s="17"/>
      <c r="D744" s="17"/>
      <c r="E744" s="17"/>
      <c r="F744" s="17"/>
      <c r="G744" s="17"/>
    </row>
    <row r="745">
      <c r="A745" s="18"/>
      <c r="B745" s="17"/>
      <c r="C745" s="17"/>
      <c r="D745" s="17"/>
      <c r="E745" s="17"/>
      <c r="F745" s="17"/>
      <c r="G745" s="17"/>
    </row>
    <row r="746">
      <c r="A746" s="18"/>
      <c r="B746" s="17"/>
      <c r="C746" s="17"/>
      <c r="D746" s="17"/>
      <c r="E746" s="17"/>
      <c r="F746" s="17"/>
      <c r="G746" s="17"/>
    </row>
    <row r="747">
      <c r="A747" s="18"/>
      <c r="B747" s="17"/>
      <c r="C747" s="17"/>
      <c r="D747" s="17"/>
      <c r="E747" s="17"/>
      <c r="F747" s="17"/>
      <c r="G747" s="17"/>
    </row>
    <row r="748">
      <c r="A748" s="18"/>
      <c r="B748" s="17"/>
      <c r="C748" s="17"/>
      <c r="D748" s="17"/>
      <c r="E748" s="17"/>
      <c r="F748" s="17"/>
      <c r="G748" s="17"/>
    </row>
    <row r="749">
      <c r="A749" s="18"/>
      <c r="B749" s="17"/>
      <c r="C749" s="17"/>
      <c r="D749" s="17"/>
      <c r="E749" s="17"/>
      <c r="F749" s="17"/>
      <c r="G749" s="17"/>
    </row>
    <row r="750">
      <c r="A750" s="18"/>
      <c r="B750" s="17"/>
      <c r="C750" s="17"/>
      <c r="D750" s="17"/>
      <c r="E750" s="17"/>
      <c r="F750" s="17"/>
      <c r="G750" s="17"/>
    </row>
    <row r="751">
      <c r="A751" s="18"/>
      <c r="B751" s="17"/>
      <c r="C751" s="17"/>
      <c r="D751" s="17"/>
      <c r="E751" s="17"/>
      <c r="F751" s="17"/>
      <c r="G751" s="17"/>
    </row>
    <row r="752">
      <c r="A752" s="18"/>
      <c r="B752" s="17"/>
      <c r="C752" s="17"/>
      <c r="D752" s="17"/>
      <c r="E752" s="17"/>
      <c r="F752" s="17"/>
      <c r="G752" s="17"/>
    </row>
    <row r="753">
      <c r="A753" s="18"/>
      <c r="B753" s="17"/>
      <c r="C753" s="17"/>
      <c r="D753" s="17"/>
      <c r="E753" s="17"/>
      <c r="F753" s="17"/>
      <c r="G753" s="17"/>
    </row>
    <row r="754">
      <c r="A754" s="18"/>
      <c r="B754" s="17"/>
      <c r="C754" s="17"/>
      <c r="D754" s="17"/>
      <c r="E754" s="17"/>
      <c r="F754" s="17"/>
      <c r="G754" s="17"/>
    </row>
    <row r="755">
      <c r="A755" s="18"/>
      <c r="B755" s="17"/>
      <c r="C755" s="17"/>
      <c r="D755" s="17"/>
      <c r="E755" s="17"/>
      <c r="F755" s="17"/>
      <c r="G755" s="17"/>
    </row>
    <row r="756">
      <c r="A756" s="18"/>
      <c r="B756" s="17"/>
      <c r="C756" s="17"/>
      <c r="D756" s="17"/>
      <c r="E756" s="17"/>
      <c r="F756" s="17"/>
      <c r="G756" s="17"/>
    </row>
    <row r="757">
      <c r="A757" s="18"/>
      <c r="B757" s="17"/>
      <c r="C757" s="17"/>
      <c r="D757" s="17"/>
      <c r="E757" s="17"/>
      <c r="F757" s="17"/>
      <c r="G757" s="17"/>
    </row>
    <row r="758">
      <c r="A758" s="18"/>
      <c r="B758" s="17"/>
      <c r="C758" s="17"/>
      <c r="D758" s="17"/>
      <c r="E758" s="17"/>
      <c r="F758" s="17"/>
      <c r="G758" s="17"/>
    </row>
    <row r="759">
      <c r="A759" s="18"/>
      <c r="B759" s="17"/>
      <c r="C759" s="17"/>
      <c r="D759" s="17"/>
      <c r="E759" s="17"/>
      <c r="F759" s="17"/>
      <c r="G759" s="17"/>
    </row>
    <row r="760">
      <c r="A760" s="18"/>
      <c r="B760" s="17"/>
      <c r="C760" s="17"/>
      <c r="D760" s="17"/>
      <c r="E760" s="17"/>
      <c r="F760" s="17"/>
      <c r="G760" s="17"/>
    </row>
    <row r="761">
      <c r="A761" s="18"/>
      <c r="B761" s="17"/>
      <c r="C761" s="17"/>
      <c r="D761" s="17"/>
      <c r="E761" s="17"/>
      <c r="F761" s="17"/>
      <c r="G761" s="17"/>
    </row>
    <row r="762">
      <c r="A762" s="18"/>
      <c r="B762" s="17"/>
      <c r="C762" s="17"/>
      <c r="D762" s="17"/>
      <c r="E762" s="17"/>
      <c r="F762" s="17"/>
      <c r="G762" s="17"/>
    </row>
    <row r="763">
      <c r="A763" s="18"/>
      <c r="B763" s="17"/>
      <c r="C763" s="17"/>
      <c r="D763" s="17"/>
      <c r="E763" s="17"/>
      <c r="F763" s="17"/>
      <c r="G763" s="17"/>
    </row>
    <row r="764">
      <c r="A764" s="18"/>
      <c r="B764" s="17"/>
      <c r="C764" s="17"/>
      <c r="D764" s="17"/>
      <c r="E764" s="17"/>
      <c r="F764" s="17"/>
      <c r="G764" s="17"/>
    </row>
    <row r="765">
      <c r="A765" s="18"/>
      <c r="B765" s="17"/>
      <c r="C765" s="17"/>
      <c r="D765" s="17"/>
      <c r="E765" s="17"/>
      <c r="F765" s="17"/>
      <c r="G765" s="17"/>
    </row>
    <row r="766">
      <c r="A766" s="18"/>
      <c r="B766" s="17"/>
      <c r="C766" s="17"/>
      <c r="D766" s="17"/>
      <c r="E766" s="17"/>
      <c r="F766" s="17"/>
      <c r="G766" s="17"/>
    </row>
    <row r="767">
      <c r="A767" s="18"/>
      <c r="B767" s="17"/>
      <c r="C767" s="17"/>
      <c r="D767" s="17"/>
      <c r="E767" s="17"/>
      <c r="F767" s="17"/>
      <c r="G767" s="17"/>
    </row>
    <row r="768">
      <c r="A768" s="18"/>
      <c r="B768" s="17"/>
      <c r="C768" s="17"/>
      <c r="D768" s="17"/>
      <c r="E768" s="17"/>
      <c r="F768" s="17"/>
      <c r="G768" s="17"/>
    </row>
    <row r="769">
      <c r="A769" s="18"/>
      <c r="B769" s="17"/>
      <c r="C769" s="17"/>
      <c r="D769" s="17"/>
      <c r="E769" s="17"/>
      <c r="F769" s="17"/>
      <c r="G769" s="17"/>
    </row>
    <row r="770">
      <c r="A770" s="18"/>
      <c r="B770" s="17"/>
      <c r="C770" s="17"/>
      <c r="D770" s="17"/>
      <c r="E770" s="17"/>
      <c r="F770" s="17"/>
      <c r="G770" s="17"/>
    </row>
    <row r="771">
      <c r="A771" s="18"/>
      <c r="B771" s="17"/>
      <c r="C771" s="17"/>
      <c r="D771" s="17"/>
      <c r="E771" s="17"/>
      <c r="F771" s="17"/>
      <c r="G771" s="17"/>
    </row>
    <row r="772">
      <c r="A772" s="18"/>
      <c r="B772" s="17"/>
      <c r="C772" s="17"/>
      <c r="D772" s="17"/>
      <c r="E772" s="17"/>
      <c r="F772" s="17"/>
      <c r="G772" s="17"/>
    </row>
    <row r="773">
      <c r="A773" s="18"/>
      <c r="B773" s="17"/>
      <c r="C773" s="17"/>
      <c r="D773" s="17"/>
      <c r="E773" s="17"/>
      <c r="F773" s="17"/>
      <c r="G773" s="17"/>
    </row>
    <row r="774">
      <c r="A774" s="18"/>
      <c r="B774" s="17"/>
      <c r="C774" s="17"/>
      <c r="D774" s="17"/>
      <c r="E774" s="17"/>
      <c r="F774" s="17"/>
      <c r="G774" s="17"/>
    </row>
    <row r="775">
      <c r="A775" s="18"/>
      <c r="B775" s="17"/>
      <c r="C775" s="17"/>
      <c r="D775" s="17"/>
      <c r="E775" s="17"/>
      <c r="F775" s="17"/>
      <c r="G775" s="17"/>
    </row>
    <row r="776">
      <c r="A776" s="18"/>
      <c r="B776" s="17"/>
      <c r="C776" s="17"/>
      <c r="D776" s="17"/>
      <c r="E776" s="17"/>
      <c r="F776" s="17"/>
      <c r="G776" s="17"/>
    </row>
    <row r="777">
      <c r="A777" s="18"/>
      <c r="B777" s="17"/>
      <c r="C777" s="17"/>
      <c r="D777" s="17"/>
      <c r="E777" s="17"/>
      <c r="F777" s="17"/>
      <c r="G777" s="17"/>
    </row>
    <row r="778">
      <c r="A778" s="18"/>
      <c r="B778" s="17"/>
      <c r="C778" s="17"/>
      <c r="D778" s="17"/>
      <c r="E778" s="17"/>
      <c r="F778" s="17"/>
      <c r="G778" s="17"/>
    </row>
    <row r="779">
      <c r="A779" s="18"/>
      <c r="B779" s="17"/>
      <c r="C779" s="17"/>
      <c r="D779" s="17"/>
      <c r="E779" s="17"/>
      <c r="F779" s="17"/>
      <c r="G779" s="17"/>
    </row>
    <row r="780">
      <c r="A780" s="18"/>
      <c r="B780" s="17"/>
      <c r="C780" s="17"/>
      <c r="D780" s="17"/>
      <c r="E780" s="17"/>
      <c r="F780" s="17"/>
      <c r="G780" s="17"/>
    </row>
    <row r="781">
      <c r="A781" s="18"/>
      <c r="B781" s="17"/>
      <c r="C781" s="17"/>
      <c r="D781" s="17"/>
      <c r="E781" s="17"/>
      <c r="F781" s="17"/>
      <c r="G781" s="17"/>
    </row>
    <row r="782">
      <c r="A782" s="18"/>
      <c r="B782" s="17"/>
      <c r="C782" s="17"/>
      <c r="D782" s="17"/>
      <c r="E782" s="17"/>
      <c r="F782" s="17"/>
      <c r="G782" s="17"/>
    </row>
    <row r="783">
      <c r="A783" s="18"/>
      <c r="B783" s="17"/>
      <c r="C783" s="17"/>
      <c r="D783" s="17"/>
      <c r="E783" s="17"/>
      <c r="F783" s="17"/>
      <c r="G783" s="17"/>
    </row>
    <row r="784">
      <c r="A784" s="18"/>
      <c r="B784" s="17"/>
      <c r="C784" s="17"/>
      <c r="D784" s="17"/>
      <c r="E784" s="17"/>
      <c r="F784" s="17"/>
      <c r="G784" s="17"/>
    </row>
    <row r="785">
      <c r="A785" s="18"/>
      <c r="B785" s="17"/>
      <c r="C785" s="17"/>
      <c r="D785" s="17"/>
      <c r="E785" s="17"/>
      <c r="F785" s="17"/>
      <c r="G785" s="17"/>
    </row>
    <row r="786">
      <c r="A786" s="18"/>
      <c r="B786" s="17"/>
      <c r="C786" s="17"/>
      <c r="D786" s="17"/>
      <c r="E786" s="17"/>
      <c r="F786" s="17"/>
      <c r="G786" s="17"/>
    </row>
    <row r="787">
      <c r="A787" s="18"/>
      <c r="B787" s="17"/>
      <c r="C787" s="17"/>
      <c r="D787" s="17"/>
      <c r="E787" s="17"/>
      <c r="F787" s="17"/>
      <c r="G787" s="17"/>
    </row>
    <row r="788">
      <c r="A788" s="18"/>
      <c r="B788" s="17"/>
      <c r="C788" s="17"/>
      <c r="D788" s="17"/>
      <c r="E788" s="17"/>
      <c r="F788" s="17"/>
      <c r="G788" s="17"/>
    </row>
    <row r="789">
      <c r="A789" s="18"/>
      <c r="B789" s="17"/>
      <c r="C789" s="17"/>
      <c r="D789" s="17"/>
      <c r="E789" s="17"/>
      <c r="F789" s="17"/>
      <c r="G789" s="17"/>
    </row>
    <row r="790">
      <c r="A790" s="18"/>
      <c r="B790" s="17"/>
      <c r="C790" s="17"/>
      <c r="D790" s="17"/>
      <c r="E790" s="17"/>
      <c r="F790" s="17"/>
      <c r="G790" s="17"/>
    </row>
    <row r="791">
      <c r="A791" s="18"/>
      <c r="B791" s="17"/>
      <c r="C791" s="17"/>
      <c r="D791" s="17"/>
      <c r="E791" s="17"/>
      <c r="F791" s="17"/>
      <c r="G791" s="17"/>
    </row>
    <row r="792">
      <c r="A792" s="18"/>
      <c r="B792" s="17"/>
      <c r="C792" s="17"/>
      <c r="D792" s="17"/>
      <c r="E792" s="17"/>
      <c r="F792" s="17"/>
      <c r="G792" s="17"/>
    </row>
    <row r="793">
      <c r="A793" s="18"/>
      <c r="B793" s="17"/>
      <c r="C793" s="17"/>
      <c r="D793" s="17"/>
      <c r="E793" s="17"/>
      <c r="F793" s="17"/>
      <c r="G793" s="17"/>
    </row>
    <row r="794">
      <c r="A794" s="18"/>
      <c r="B794" s="17"/>
      <c r="C794" s="17"/>
      <c r="D794" s="17"/>
      <c r="E794" s="17"/>
      <c r="F794" s="17"/>
      <c r="G794" s="17"/>
    </row>
    <row r="795">
      <c r="A795" s="18"/>
      <c r="B795" s="17"/>
      <c r="C795" s="17"/>
      <c r="D795" s="17"/>
      <c r="E795" s="17"/>
      <c r="F795" s="17"/>
      <c r="G795" s="17"/>
    </row>
    <row r="796">
      <c r="A796" s="18"/>
      <c r="B796" s="17"/>
      <c r="C796" s="17"/>
      <c r="D796" s="17"/>
      <c r="E796" s="17"/>
      <c r="F796" s="17"/>
      <c r="G796" s="17"/>
    </row>
    <row r="797">
      <c r="A797" s="18"/>
      <c r="B797" s="17"/>
      <c r="C797" s="17"/>
      <c r="D797" s="17"/>
      <c r="E797" s="17"/>
      <c r="F797" s="17"/>
      <c r="G797" s="17"/>
    </row>
    <row r="798">
      <c r="A798" s="18"/>
      <c r="B798" s="17"/>
      <c r="C798" s="17"/>
      <c r="D798" s="17"/>
      <c r="E798" s="17"/>
      <c r="F798" s="17"/>
      <c r="G798" s="17"/>
    </row>
    <row r="799">
      <c r="A799" s="18"/>
      <c r="B799" s="17"/>
      <c r="C799" s="17"/>
      <c r="D799" s="17"/>
      <c r="E799" s="17"/>
      <c r="F799" s="17"/>
      <c r="G799" s="17"/>
    </row>
    <row r="800">
      <c r="A800" s="18"/>
      <c r="B800" s="17"/>
      <c r="C800" s="17"/>
      <c r="D800" s="17"/>
      <c r="E800" s="17"/>
      <c r="F800" s="17"/>
      <c r="G800" s="17"/>
    </row>
    <row r="801">
      <c r="A801" s="18"/>
      <c r="B801" s="17"/>
      <c r="C801" s="17"/>
      <c r="D801" s="17"/>
      <c r="E801" s="17"/>
      <c r="F801" s="17"/>
      <c r="G801" s="17"/>
    </row>
    <row r="802">
      <c r="A802" s="18"/>
      <c r="B802" s="17"/>
      <c r="C802" s="17"/>
      <c r="D802" s="17"/>
      <c r="E802" s="17"/>
      <c r="F802" s="17"/>
      <c r="G802" s="17"/>
    </row>
    <row r="803">
      <c r="A803" s="18"/>
      <c r="B803" s="17"/>
      <c r="C803" s="17"/>
      <c r="D803" s="17"/>
      <c r="E803" s="17"/>
      <c r="F803" s="17"/>
      <c r="G803" s="17"/>
    </row>
    <row r="804">
      <c r="A804" s="18"/>
      <c r="B804" s="17"/>
      <c r="C804" s="17"/>
      <c r="D804" s="17"/>
      <c r="E804" s="17"/>
      <c r="F804" s="17"/>
      <c r="G804" s="17"/>
    </row>
    <row r="805">
      <c r="A805" s="18"/>
      <c r="B805" s="17"/>
      <c r="C805" s="17"/>
      <c r="D805" s="17"/>
      <c r="E805" s="17"/>
      <c r="F805" s="17"/>
      <c r="G805" s="17"/>
    </row>
    <row r="806">
      <c r="A806" s="18"/>
      <c r="B806" s="17"/>
      <c r="C806" s="17"/>
      <c r="D806" s="17"/>
      <c r="E806" s="17"/>
      <c r="F806" s="17"/>
      <c r="G806" s="17"/>
    </row>
    <row r="807">
      <c r="A807" s="18"/>
      <c r="B807" s="17"/>
      <c r="C807" s="17"/>
      <c r="D807" s="17"/>
      <c r="E807" s="17"/>
      <c r="F807" s="17"/>
      <c r="G807" s="17"/>
    </row>
    <row r="808">
      <c r="A808" s="18"/>
      <c r="B808" s="17"/>
      <c r="C808" s="17"/>
      <c r="D808" s="17"/>
      <c r="E808" s="17"/>
      <c r="F808" s="17"/>
      <c r="G808" s="17"/>
    </row>
    <row r="809">
      <c r="A809" s="18"/>
      <c r="B809" s="17"/>
      <c r="C809" s="17"/>
      <c r="D809" s="17"/>
      <c r="E809" s="17"/>
      <c r="F809" s="17"/>
      <c r="G809" s="17"/>
    </row>
    <row r="810">
      <c r="A810" s="18"/>
      <c r="B810" s="17"/>
      <c r="C810" s="17"/>
      <c r="D810" s="17"/>
      <c r="E810" s="17"/>
      <c r="F810" s="17"/>
      <c r="G810" s="17"/>
    </row>
    <row r="811">
      <c r="A811" s="18"/>
      <c r="B811" s="17"/>
      <c r="C811" s="17"/>
      <c r="D811" s="17"/>
      <c r="E811" s="17"/>
      <c r="F811" s="17"/>
      <c r="G811" s="17"/>
    </row>
    <row r="812">
      <c r="A812" s="18"/>
      <c r="B812" s="17"/>
      <c r="C812" s="17"/>
      <c r="D812" s="17"/>
      <c r="E812" s="17"/>
      <c r="F812" s="17"/>
      <c r="G812" s="17"/>
    </row>
    <row r="813">
      <c r="A813" s="18"/>
      <c r="B813" s="17"/>
      <c r="C813" s="17"/>
      <c r="D813" s="17"/>
      <c r="E813" s="17"/>
      <c r="F813" s="17"/>
      <c r="G813" s="17"/>
    </row>
    <row r="814">
      <c r="A814" s="18"/>
      <c r="B814" s="17"/>
      <c r="C814" s="17"/>
      <c r="D814" s="17"/>
      <c r="E814" s="17"/>
      <c r="F814" s="17"/>
      <c r="G814" s="17"/>
    </row>
    <row r="815">
      <c r="A815" s="18"/>
      <c r="B815" s="17"/>
      <c r="C815" s="17"/>
      <c r="D815" s="17"/>
      <c r="E815" s="17"/>
      <c r="F815" s="17"/>
      <c r="G815" s="17"/>
    </row>
    <row r="816">
      <c r="A816" s="18"/>
      <c r="B816" s="17"/>
      <c r="C816" s="17"/>
      <c r="D816" s="17"/>
      <c r="E816" s="17"/>
      <c r="F816" s="17"/>
      <c r="G816" s="17"/>
    </row>
    <row r="817">
      <c r="A817" s="18"/>
      <c r="B817" s="17"/>
      <c r="C817" s="17"/>
      <c r="D817" s="17"/>
      <c r="E817" s="17"/>
      <c r="F817" s="17"/>
      <c r="G817" s="17"/>
    </row>
    <row r="818">
      <c r="A818" s="18"/>
      <c r="B818" s="17"/>
      <c r="C818" s="17"/>
      <c r="D818" s="17"/>
      <c r="E818" s="17"/>
      <c r="F818" s="17"/>
      <c r="G818" s="17"/>
    </row>
    <row r="819">
      <c r="A819" s="18"/>
      <c r="B819" s="17"/>
      <c r="C819" s="17"/>
      <c r="D819" s="17"/>
      <c r="E819" s="17"/>
      <c r="F819" s="17"/>
      <c r="G819" s="17"/>
    </row>
    <row r="820">
      <c r="A820" s="18"/>
      <c r="B820" s="17"/>
      <c r="C820" s="17"/>
      <c r="D820" s="17"/>
      <c r="E820" s="17"/>
      <c r="F820" s="17"/>
      <c r="G820" s="17"/>
    </row>
    <row r="821">
      <c r="A821" s="18"/>
      <c r="B821" s="17"/>
      <c r="C821" s="17"/>
      <c r="D821" s="17"/>
      <c r="E821" s="17"/>
      <c r="F821" s="17"/>
      <c r="G821" s="17"/>
    </row>
    <row r="822">
      <c r="A822" s="18"/>
      <c r="B822" s="17"/>
      <c r="C822" s="17"/>
      <c r="D822" s="17"/>
      <c r="E822" s="17"/>
      <c r="F822" s="17"/>
      <c r="G822" s="17"/>
    </row>
    <row r="823">
      <c r="A823" s="18"/>
      <c r="B823" s="17"/>
      <c r="C823" s="17"/>
      <c r="D823" s="17"/>
      <c r="E823" s="17"/>
      <c r="F823" s="17"/>
      <c r="G823" s="17"/>
    </row>
    <row r="824">
      <c r="A824" s="18"/>
      <c r="B824" s="17"/>
      <c r="C824" s="17"/>
      <c r="D824" s="17"/>
      <c r="E824" s="17"/>
      <c r="F824" s="17"/>
      <c r="G824" s="17"/>
    </row>
    <row r="825">
      <c r="A825" s="18"/>
      <c r="B825" s="17"/>
      <c r="C825" s="17"/>
      <c r="D825" s="17"/>
      <c r="E825" s="17"/>
      <c r="F825" s="17"/>
      <c r="G825" s="17"/>
    </row>
    <row r="826">
      <c r="A826" s="18"/>
      <c r="B826" s="17"/>
      <c r="C826" s="17"/>
      <c r="D826" s="17"/>
      <c r="E826" s="17"/>
      <c r="F826" s="17"/>
      <c r="G826" s="17"/>
    </row>
    <row r="827">
      <c r="A827" s="18"/>
      <c r="B827" s="17"/>
      <c r="C827" s="17"/>
      <c r="D827" s="17"/>
      <c r="E827" s="17"/>
      <c r="F827" s="17"/>
      <c r="G827" s="17"/>
    </row>
    <row r="828">
      <c r="A828" s="18"/>
      <c r="B828" s="17"/>
      <c r="C828" s="17"/>
      <c r="D828" s="17"/>
      <c r="E828" s="17"/>
      <c r="F828" s="17"/>
      <c r="G828" s="17"/>
    </row>
    <row r="829">
      <c r="A829" s="18"/>
      <c r="B829" s="17"/>
      <c r="C829" s="17"/>
      <c r="D829" s="17"/>
      <c r="E829" s="17"/>
      <c r="F829" s="17"/>
      <c r="G829" s="17"/>
    </row>
    <row r="830">
      <c r="A830" s="18"/>
      <c r="B830" s="17"/>
      <c r="C830" s="17"/>
      <c r="D830" s="17"/>
      <c r="E830" s="17"/>
      <c r="F830" s="17"/>
      <c r="G830" s="17"/>
    </row>
    <row r="831">
      <c r="A831" s="18"/>
      <c r="B831" s="17"/>
      <c r="C831" s="17"/>
      <c r="D831" s="17"/>
      <c r="E831" s="17"/>
      <c r="F831" s="17"/>
      <c r="G831" s="17"/>
    </row>
    <row r="832">
      <c r="A832" s="18"/>
      <c r="B832" s="17"/>
      <c r="C832" s="17"/>
      <c r="D832" s="17"/>
      <c r="E832" s="17"/>
      <c r="F832" s="17"/>
      <c r="G832" s="17"/>
    </row>
    <row r="833">
      <c r="A833" s="18"/>
      <c r="B833" s="17"/>
      <c r="C833" s="17"/>
      <c r="D833" s="17"/>
      <c r="E833" s="17"/>
      <c r="F833" s="17"/>
      <c r="G833" s="17"/>
    </row>
    <row r="834">
      <c r="A834" s="18"/>
      <c r="B834" s="17"/>
      <c r="C834" s="17"/>
      <c r="D834" s="17"/>
      <c r="E834" s="17"/>
      <c r="F834" s="17"/>
      <c r="G834" s="17"/>
    </row>
    <row r="835">
      <c r="A835" s="18"/>
      <c r="B835" s="17"/>
      <c r="C835" s="17"/>
      <c r="D835" s="17"/>
      <c r="E835" s="17"/>
      <c r="F835" s="17"/>
      <c r="G835" s="17"/>
    </row>
    <row r="836">
      <c r="A836" s="18"/>
      <c r="B836" s="17"/>
      <c r="C836" s="17"/>
      <c r="D836" s="17"/>
      <c r="E836" s="17"/>
      <c r="F836" s="17"/>
      <c r="G836" s="17"/>
    </row>
    <row r="837">
      <c r="A837" s="18"/>
      <c r="B837" s="17"/>
      <c r="C837" s="17"/>
      <c r="D837" s="17"/>
      <c r="E837" s="17"/>
      <c r="F837" s="17"/>
      <c r="G837" s="17"/>
    </row>
    <row r="838">
      <c r="A838" s="18"/>
      <c r="B838" s="17"/>
      <c r="C838" s="17"/>
      <c r="D838" s="17"/>
      <c r="E838" s="17"/>
      <c r="F838" s="17"/>
      <c r="G838" s="17"/>
    </row>
    <row r="839">
      <c r="A839" s="18"/>
      <c r="B839" s="17"/>
      <c r="C839" s="17"/>
      <c r="D839" s="17"/>
      <c r="E839" s="17"/>
      <c r="F839" s="17"/>
      <c r="G839" s="17"/>
    </row>
    <row r="840">
      <c r="A840" s="18"/>
      <c r="B840" s="17"/>
      <c r="C840" s="17"/>
      <c r="D840" s="17"/>
      <c r="E840" s="17"/>
      <c r="F840" s="17"/>
      <c r="G840" s="17"/>
    </row>
    <row r="841">
      <c r="A841" s="18"/>
      <c r="B841" s="17"/>
      <c r="C841" s="17"/>
      <c r="D841" s="17"/>
      <c r="E841" s="17"/>
      <c r="F841" s="17"/>
      <c r="G841" s="17"/>
    </row>
    <row r="842">
      <c r="A842" s="18"/>
      <c r="B842" s="17"/>
      <c r="C842" s="17"/>
      <c r="D842" s="17"/>
      <c r="E842" s="17"/>
      <c r="F842" s="17"/>
      <c r="G842" s="17"/>
    </row>
    <row r="843">
      <c r="A843" s="18"/>
      <c r="B843" s="17"/>
      <c r="C843" s="17"/>
      <c r="D843" s="17"/>
      <c r="E843" s="17"/>
      <c r="F843" s="17"/>
      <c r="G843" s="17"/>
    </row>
    <row r="844">
      <c r="A844" s="18"/>
      <c r="B844" s="17"/>
      <c r="C844" s="17"/>
      <c r="D844" s="17"/>
      <c r="E844" s="17"/>
      <c r="F844" s="17"/>
      <c r="G844" s="17"/>
    </row>
    <row r="845">
      <c r="A845" s="18"/>
      <c r="B845" s="17"/>
      <c r="C845" s="17"/>
      <c r="D845" s="17"/>
      <c r="E845" s="17"/>
      <c r="F845" s="17"/>
      <c r="G845" s="17"/>
    </row>
    <row r="846">
      <c r="A846" s="18"/>
      <c r="B846" s="17"/>
      <c r="C846" s="17"/>
      <c r="D846" s="17"/>
      <c r="E846" s="17"/>
      <c r="F846" s="17"/>
      <c r="G846" s="17"/>
    </row>
    <row r="847">
      <c r="A847" s="18"/>
      <c r="B847" s="17"/>
      <c r="C847" s="17"/>
      <c r="D847" s="17"/>
      <c r="E847" s="17"/>
      <c r="F847" s="17"/>
      <c r="G847" s="17"/>
    </row>
    <row r="848">
      <c r="A848" s="18"/>
      <c r="B848" s="17"/>
      <c r="C848" s="17"/>
      <c r="D848" s="17"/>
      <c r="E848" s="17"/>
      <c r="F848" s="17"/>
      <c r="G848" s="17"/>
    </row>
    <row r="849">
      <c r="A849" s="18"/>
      <c r="B849" s="17"/>
      <c r="C849" s="17"/>
      <c r="D849" s="17"/>
      <c r="E849" s="17"/>
      <c r="F849" s="17"/>
      <c r="G849" s="17"/>
    </row>
    <row r="850">
      <c r="A850" s="18"/>
      <c r="B850" s="17"/>
      <c r="C850" s="17"/>
      <c r="D850" s="17"/>
      <c r="E850" s="17"/>
      <c r="F850" s="17"/>
      <c r="G850" s="17"/>
    </row>
    <row r="851">
      <c r="A851" s="18"/>
      <c r="B851" s="17"/>
      <c r="C851" s="17"/>
      <c r="D851" s="17"/>
      <c r="E851" s="17"/>
      <c r="F851" s="17"/>
      <c r="G851" s="17"/>
    </row>
    <row r="852">
      <c r="A852" s="18"/>
      <c r="B852" s="17"/>
      <c r="C852" s="17"/>
      <c r="D852" s="17"/>
      <c r="E852" s="17"/>
      <c r="F852" s="17"/>
      <c r="G852" s="17"/>
    </row>
    <row r="853">
      <c r="A853" s="18"/>
      <c r="B853" s="17"/>
      <c r="C853" s="17"/>
      <c r="D853" s="17"/>
      <c r="E853" s="17"/>
      <c r="F853" s="17"/>
      <c r="G853" s="17"/>
    </row>
    <row r="854">
      <c r="A854" s="18"/>
      <c r="B854" s="17"/>
      <c r="C854" s="17"/>
      <c r="D854" s="17"/>
      <c r="E854" s="17"/>
      <c r="F854" s="17"/>
      <c r="G854" s="17"/>
    </row>
    <row r="855">
      <c r="A855" s="18"/>
      <c r="B855" s="17"/>
      <c r="C855" s="17"/>
      <c r="D855" s="17"/>
      <c r="E855" s="17"/>
      <c r="F855" s="17"/>
      <c r="G855" s="17"/>
    </row>
    <row r="856">
      <c r="A856" s="18"/>
      <c r="B856" s="17"/>
      <c r="C856" s="17"/>
      <c r="D856" s="17"/>
      <c r="E856" s="17"/>
      <c r="F856" s="17"/>
      <c r="G856" s="17"/>
    </row>
    <row r="857">
      <c r="A857" s="18"/>
      <c r="B857" s="17"/>
      <c r="C857" s="17"/>
      <c r="D857" s="17"/>
      <c r="E857" s="17"/>
      <c r="F857" s="17"/>
      <c r="G857" s="17"/>
    </row>
    <row r="858">
      <c r="A858" s="18"/>
      <c r="B858" s="17"/>
      <c r="C858" s="17"/>
      <c r="D858" s="17"/>
      <c r="E858" s="17"/>
      <c r="F858" s="17"/>
      <c r="G858" s="17"/>
    </row>
    <row r="859">
      <c r="A859" s="18"/>
      <c r="B859" s="17"/>
      <c r="C859" s="17"/>
      <c r="D859" s="17"/>
      <c r="E859" s="17"/>
      <c r="F859" s="17"/>
      <c r="G859" s="17"/>
    </row>
    <row r="860">
      <c r="A860" s="18"/>
      <c r="B860" s="17"/>
      <c r="C860" s="17"/>
      <c r="D860" s="17"/>
      <c r="E860" s="17"/>
      <c r="F860" s="17"/>
      <c r="G860" s="17"/>
    </row>
    <row r="861">
      <c r="A861" s="18"/>
      <c r="B861" s="17"/>
      <c r="C861" s="17"/>
      <c r="D861" s="17"/>
      <c r="E861" s="17"/>
      <c r="F861" s="17"/>
      <c r="G861" s="17"/>
    </row>
    <row r="862">
      <c r="A862" s="18"/>
      <c r="B862" s="17"/>
      <c r="C862" s="17"/>
      <c r="D862" s="17"/>
      <c r="E862" s="17"/>
      <c r="F862" s="17"/>
      <c r="G862" s="17"/>
    </row>
    <row r="863">
      <c r="A863" s="18"/>
      <c r="B863" s="17"/>
      <c r="C863" s="17"/>
      <c r="D863" s="17"/>
      <c r="E863" s="17"/>
      <c r="F863" s="17"/>
      <c r="G863" s="17"/>
    </row>
    <row r="864">
      <c r="A864" s="18"/>
      <c r="B864" s="17"/>
      <c r="C864" s="17"/>
      <c r="D864" s="17"/>
      <c r="E864" s="17"/>
      <c r="F864" s="17"/>
      <c r="G864" s="17"/>
    </row>
    <row r="865">
      <c r="A865" s="18"/>
      <c r="B865" s="17"/>
      <c r="C865" s="17"/>
      <c r="D865" s="17"/>
      <c r="E865" s="17"/>
      <c r="F865" s="17"/>
      <c r="G865" s="17"/>
    </row>
    <row r="866">
      <c r="A866" s="18"/>
      <c r="B866" s="17"/>
      <c r="C866" s="17"/>
      <c r="D866" s="17"/>
      <c r="E866" s="17"/>
      <c r="F866" s="17"/>
      <c r="G866" s="17"/>
    </row>
    <row r="867">
      <c r="A867" s="18"/>
      <c r="B867" s="17"/>
      <c r="C867" s="17"/>
      <c r="D867" s="17"/>
      <c r="E867" s="17"/>
      <c r="F867" s="17"/>
      <c r="G867" s="17"/>
    </row>
    <row r="868">
      <c r="A868" s="18"/>
      <c r="B868" s="17"/>
      <c r="C868" s="17"/>
      <c r="D868" s="17"/>
      <c r="E868" s="17"/>
      <c r="F868" s="17"/>
      <c r="G868" s="17"/>
    </row>
    <row r="869">
      <c r="A869" s="18"/>
      <c r="B869" s="17"/>
      <c r="C869" s="17"/>
      <c r="D869" s="17"/>
      <c r="E869" s="17"/>
      <c r="F869" s="17"/>
      <c r="G869" s="17"/>
    </row>
    <row r="870">
      <c r="A870" s="18"/>
      <c r="B870" s="17"/>
      <c r="C870" s="17"/>
      <c r="D870" s="17"/>
      <c r="E870" s="17"/>
      <c r="F870" s="17"/>
      <c r="G870" s="17"/>
    </row>
    <row r="871">
      <c r="A871" s="18"/>
      <c r="B871" s="17"/>
      <c r="C871" s="17"/>
      <c r="D871" s="17"/>
      <c r="E871" s="17"/>
      <c r="F871" s="17"/>
      <c r="G871" s="17"/>
    </row>
    <row r="872">
      <c r="A872" s="18"/>
      <c r="B872" s="17"/>
      <c r="C872" s="17"/>
      <c r="D872" s="17"/>
      <c r="E872" s="17"/>
      <c r="F872" s="17"/>
      <c r="G872" s="17"/>
    </row>
    <row r="873">
      <c r="A873" s="18"/>
      <c r="B873" s="17"/>
      <c r="C873" s="17"/>
      <c r="D873" s="17"/>
      <c r="E873" s="17"/>
      <c r="F873" s="17"/>
      <c r="G873" s="17"/>
    </row>
    <row r="874">
      <c r="A874" s="18"/>
      <c r="B874" s="17"/>
      <c r="C874" s="17"/>
      <c r="D874" s="17"/>
      <c r="E874" s="17"/>
      <c r="F874" s="17"/>
      <c r="G874" s="17"/>
    </row>
    <row r="875">
      <c r="A875" s="18"/>
      <c r="B875" s="17"/>
      <c r="C875" s="17"/>
      <c r="D875" s="17"/>
      <c r="E875" s="17"/>
      <c r="F875" s="17"/>
      <c r="G875" s="17"/>
    </row>
    <row r="876">
      <c r="A876" s="18"/>
      <c r="B876" s="17"/>
      <c r="C876" s="17"/>
      <c r="D876" s="17"/>
      <c r="E876" s="17"/>
      <c r="F876" s="17"/>
      <c r="G876" s="17"/>
    </row>
    <row r="877">
      <c r="A877" s="18"/>
      <c r="B877" s="17"/>
      <c r="C877" s="17"/>
      <c r="D877" s="17"/>
      <c r="E877" s="17"/>
      <c r="F877" s="17"/>
      <c r="G877" s="17"/>
    </row>
    <row r="878">
      <c r="A878" s="18"/>
      <c r="B878" s="17"/>
      <c r="C878" s="17"/>
      <c r="D878" s="17"/>
      <c r="E878" s="17"/>
      <c r="F878" s="17"/>
      <c r="G878" s="17"/>
    </row>
    <row r="879">
      <c r="A879" s="18"/>
      <c r="B879" s="17"/>
      <c r="C879" s="17"/>
      <c r="D879" s="17"/>
      <c r="E879" s="17"/>
      <c r="F879" s="17"/>
      <c r="G879" s="17"/>
    </row>
    <row r="880">
      <c r="A880" s="18"/>
      <c r="B880" s="17"/>
      <c r="C880" s="17"/>
      <c r="D880" s="17"/>
      <c r="E880" s="17"/>
      <c r="F880" s="17"/>
      <c r="G880" s="17"/>
    </row>
    <row r="881">
      <c r="A881" s="18"/>
      <c r="B881" s="17"/>
      <c r="C881" s="17"/>
      <c r="D881" s="17"/>
      <c r="E881" s="17"/>
      <c r="F881" s="17"/>
      <c r="G881" s="17"/>
    </row>
    <row r="882">
      <c r="A882" s="18"/>
      <c r="B882" s="17"/>
      <c r="C882" s="17"/>
      <c r="D882" s="17"/>
      <c r="E882" s="17"/>
      <c r="F882" s="17"/>
      <c r="G882" s="17"/>
    </row>
    <row r="883">
      <c r="A883" s="18"/>
      <c r="B883" s="17"/>
      <c r="C883" s="17"/>
      <c r="D883" s="17"/>
      <c r="E883" s="17"/>
      <c r="F883" s="17"/>
      <c r="G883" s="17"/>
    </row>
    <row r="884">
      <c r="A884" s="18"/>
      <c r="B884" s="17"/>
      <c r="C884" s="17"/>
      <c r="D884" s="17"/>
      <c r="E884" s="17"/>
      <c r="F884" s="17"/>
      <c r="G884" s="17"/>
    </row>
    <row r="885">
      <c r="A885" s="18"/>
      <c r="B885" s="17"/>
      <c r="C885" s="17"/>
      <c r="D885" s="17"/>
      <c r="E885" s="17"/>
      <c r="F885" s="17"/>
      <c r="G885" s="17"/>
    </row>
    <row r="886">
      <c r="A886" s="18"/>
      <c r="B886" s="17"/>
      <c r="C886" s="17"/>
      <c r="D886" s="17"/>
      <c r="E886" s="17"/>
      <c r="F886" s="17"/>
      <c r="G886" s="17"/>
    </row>
    <row r="887">
      <c r="A887" s="18"/>
      <c r="B887" s="17"/>
      <c r="C887" s="17"/>
      <c r="D887" s="17"/>
      <c r="E887" s="17"/>
      <c r="F887" s="17"/>
      <c r="G887" s="17"/>
    </row>
    <row r="888">
      <c r="A888" s="18"/>
      <c r="B888" s="17"/>
      <c r="C888" s="17"/>
      <c r="D888" s="17"/>
      <c r="E888" s="17"/>
      <c r="F888" s="17"/>
      <c r="G888" s="17"/>
    </row>
    <row r="889">
      <c r="A889" s="18"/>
      <c r="B889" s="17"/>
      <c r="C889" s="17"/>
      <c r="D889" s="17"/>
      <c r="E889" s="17"/>
      <c r="F889" s="17"/>
      <c r="G889" s="17"/>
    </row>
    <row r="890">
      <c r="A890" s="18"/>
      <c r="B890" s="17"/>
      <c r="C890" s="17"/>
      <c r="D890" s="17"/>
      <c r="E890" s="17"/>
      <c r="F890" s="17"/>
      <c r="G890" s="17"/>
    </row>
    <row r="891">
      <c r="A891" s="18"/>
      <c r="B891" s="17"/>
      <c r="C891" s="17"/>
      <c r="D891" s="17"/>
      <c r="E891" s="17"/>
      <c r="F891" s="17"/>
      <c r="G891" s="17"/>
    </row>
    <row r="892">
      <c r="A892" s="18"/>
      <c r="B892" s="17"/>
      <c r="C892" s="17"/>
      <c r="D892" s="17"/>
      <c r="E892" s="17"/>
      <c r="F892" s="17"/>
      <c r="G892" s="17"/>
    </row>
    <row r="893">
      <c r="A893" s="18"/>
      <c r="B893" s="17"/>
      <c r="C893" s="17"/>
      <c r="D893" s="17"/>
      <c r="E893" s="17"/>
      <c r="F893" s="17"/>
      <c r="G893" s="17"/>
    </row>
    <row r="894">
      <c r="A894" s="18"/>
      <c r="B894" s="17"/>
      <c r="C894" s="17"/>
      <c r="D894" s="17"/>
      <c r="E894" s="17"/>
      <c r="F894" s="17"/>
      <c r="G894" s="17"/>
    </row>
    <row r="895">
      <c r="A895" s="18"/>
      <c r="B895" s="17"/>
      <c r="C895" s="17"/>
      <c r="D895" s="17"/>
      <c r="E895" s="17"/>
      <c r="F895" s="17"/>
      <c r="G895" s="17"/>
    </row>
    <row r="896">
      <c r="A896" s="18"/>
      <c r="B896" s="17"/>
      <c r="C896" s="17"/>
      <c r="D896" s="17"/>
      <c r="E896" s="17"/>
      <c r="F896" s="17"/>
      <c r="G896" s="17"/>
    </row>
    <row r="897">
      <c r="A897" s="18"/>
      <c r="B897" s="17"/>
      <c r="C897" s="17"/>
      <c r="D897" s="17"/>
      <c r="E897" s="17"/>
      <c r="F897" s="17"/>
      <c r="G897" s="17"/>
    </row>
    <row r="898">
      <c r="A898" s="18"/>
      <c r="B898" s="17"/>
      <c r="C898" s="17"/>
      <c r="D898" s="17"/>
      <c r="E898" s="17"/>
      <c r="F898" s="17"/>
      <c r="G898" s="17"/>
    </row>
    <row r="899">
      <c r="A899" s="18"/>
      <c r="B899" s="17"/>
      <c r="C899" s="17"/>
      <c r="D899" s="17"/>
      <c r="E899" s="17"/>
      <c r="F899" s="17"/>
      <c r="G899" s="17"/>
    </row>
    <row r="900">
      <c r="A900" s="18"/>
      <c r="B900" s="17"/>
      <c r="C900" s="17"/>
      <c r="D900" s="17"/>
      <c r="E900" s="17"/>
      <c r="F900" s="17"/>
      <c r="G900" s="17"/>
    </row>
    <row r="901">
      <c r="A901" s="18"/>
      <c r="B901" s="17"/>
      <c r="C901" s="17"/>
      <c r="D901" s="17"/>
      <c r="E901" s="17"/>
      <c r="F901" s="17"/>
      <c r="G901" s="17"/>
    </row>
    <row r="902">
      <c r="A902" s="18"/>
      <c r="B902" s="17"/>
      <c r="C902" s="17"/>
      <c r="D902" s="17"/>
      <c r="E902" s="17"/>
      <c r="F902" s="17"/>
      <c r="G902" s="17"/>
    </row>
    <row r="903">
      <c r="A903" s="18"/>
      <c r="B903" s="17"/>
      <c r="C903" s="17"/>
      <c r="D903" s="17"/>
      <c r="E903" s="17"/>
      <c r="F903" s="17"/>
      <c r="G903" s="17"/>
    </row>
    <row r="904">
      <c r="A904" s="18"/>
      <c r="B904" s="17"/>
      <c r="C904" s="17"/>
      <c r="D904" s="17"/>
      <c r="E904" s="17"/>
      <c r="F904" s="17"/>
      <c r="G904" s="17"/>
    </row>
    <row r="905">
      <c r="A905" s="18"/>
      <c r="B905" s="17"/>
      <c r="C905" s="17"/>
      <c r="D905" s="17"/>
      <c r="E905" s="17"/>
      <c r="F905" s="17"/>
      <c r="G905" s="17"/>
    </row>
    <row r="906">
      <c r="A906" s="18"/>
      <c r="B906" s="17"/>
      <c r="C906" s="17"/>
      <c r="D906" s="17"/>
      <c r="E906" s="17"/>
      <c r="F906" s="17"/>
      <c r="G906" s="17"/>
    </row>
    <row r="907">
      <c r="A907" s="18"/>
      <c r="B907" s="17"/>
      <c r="C907" s="17"/>
      <c r="D907" s="17"/>
      <c r="E907" s="17"/>
      <c r="F907" s="17"/>
      <c r="G907" s="17"/>
    </row>
    <row r="908">
      <c r="A908" s="18"/>
      <c r="B908" s="17"/>
      <c r="C908" s="17"/>
      <c r="D908" s="17"/>
      <c r="E908" s="17"/>
      <c r="F908" s="17"/>
      <c r="G908" s="17"/>
    </row>
    <row r="909">
      <c r="A909" s="18"/>
      <c r="B909" s="17"/>
      <c r="C909" s="17"/>
      <c r="D909" s="17"/>
      <c r="E909" s="17"/>
      <c r="F909" s="17"/>
      <c r="G909" s="17"/>
    </row>
    <row r="910">
      <c r="A910" s="18"/>
      <c r="B910" s="17"/>
      <c r="C910" s="17"/>
      <c r="D910" s="17"/>
      <c r="E910" s="17"/>
      <c r="F910" s="17"/>
      <c r="G910" s="17"/>
    </row>
    <row r="911">
      <c r="A911" s="18"/>
      <c r="B911" s="17"/>
      <c r="C911" s="17"/>
      <c r="D911" s="17"/>
      <c r="E911" s="17"/>
      <c r="F911" s="17"/>
      <c r="G911" s="17"/>
    </row>
    <row r="912">
      <c r="A912" s="18"/>
      <c r="B912" s="17"/>
      <c r="C912" s="17"/>
      <c r="D912" s="17"/>
      <c r="E912" s="17"/>
      <c r="F912" s="17"/>
      <c r="G912" s="17"/>
    </row>
    <row r="913">
      <c r="A913" s="18"/>
      <c r="B913" s="17"/>
      <c r="C913" s="17"/>
      <c r="D913" s="17"/>
      <c r="E913" s="17"/>
      <c r="F913" s="17"/>
      <c r="G913" s="17"/>
    </row>
    <row r="914">
      <c r="A914" s="18"/>
      <c r="B914" s="17"/>
      <c r="C914" s="17"/>
      <c r="D914" s="17"/>
      <c r="E914" s="17"/>
      <c r="F914" s="17"/>
      <c r="G914" s="17"/>
    </row>
    <row r="915">
      <c r="A915" s="18"/>
      <c r="B915" s="17"/>
      <c r="C915" s="17"/>
      <c r="D915" s="17"/>
      <c r="E915" s="17"/>
      <c r="F915" s="17"/>
      <c r="G915" s="17"/>
    </row>
    <row r="916">
      <c r="A916" s="18"/>
      <c r="B916" s="17"/>
      <c r="C916" s="17"/>
      <c r="D916" s="17"/>
      <c r="E916" s="17"/>
      <c r="F916" s="17"/>
      <c r="G916" s="17"/>
    </row>
    <row r="917">
      <c r="A917" s="18"/>
      <c r="B917" s="17"/>
      <c r="C917" s="17"/>
      <c r="D917" s="17"/>
      <c r="E917" s="17"/>
      <c r="F917" s="17"/>
      <c r="G917" s="17"/>
    </row>
    <row r="918">
      <c r="A918" s="18"/>
      <c r="B918" s="17"/>
      <c r="C918" s="17"/>
      <c r="D918" s="17"/>
      <c r="E918" s="17"/>
      <c r="F918" s="17"/>
      <c r="G918" s="17"/>
    </row>
    <row r="919">
      <c r="A919" s="18"/>
      <c r="B919" s="17"/>
      <c r="C919" s="17"/>
      <c r="D919" s="17"/>
      <c r="E919" s="17"/>
      <c r="F919" s="17"/>
      <c r="G919" s="17"/>
    </row>
    <row r="920">
      <c r="A920" s="18"/>
      <c r="B920" s="17"/>
      <c r="C920" s="17"/>
      <c r="D920" s="17"/>
      <c r="E920" s="17"/>
      <c r="F920" s="17"/>
      <c r="G920" s="17"/>
    </row>
    <row r="921">
      <c r="A921" s="18"/>
      <c r="B921" s="17"/>
      <c r="C921" s="17"/>
      <c r="D921" s="17"/>
      <c r="E921" s="17"/>
      <c r="F921" s="17"/>
      <c r="G921" s="17"/>
    </row>
    <row r="922">
      <c r="A922" s="18"/>
      <c r="B922" s="17"/>
      <c r="C922" s="17"/>
      <c r="D922" s="17"/>
      <c r="E922" s="17"/>
      <c r="F922" s="17"/>
      <c r="G922" s="17"/>
    </row>
    <row r="923">
      <c r="A923" s="18"/>
      <c r="B923" s="17"/>
      <c r="C923" s="17"/>
      <c r="D923" s="17"/>
      <c r="E923" s="17"/>
      <c r="F923" s="17"/>
      <c r="G923" s="17"/>
    </row>
    <row r="924">
      <c r="A924" s="18"/>
      <c r="B924" s="17"/>
      <c r="C924" s="17"/>
      <c r="D924" s="17"/>
      <c r="E924" s="17"/>
      <c r="F924" s="17"/>
      <c r="G924" s="17"/>
    </row>
    <row r="925">
      <c r="A925" s="18"/>
      <c r="B925" s="17"/>
      <c r="C925" s="17"/>
      <c r="D925" s="17"/>
      <c r="E925" s="17"/>
      <c r="F925" s="17"/>
      <c r="G925" s="17"/>
    </row>
    <row r="926">
      <c r="A926" s="18"/>
      <c r="B926" s="17"/>
      <c r="C926" s="17"/>
      <c r="D926" s="17"/>
      <c r="E926" s="17"/>
      <c r="F926" s="17"/>
      <c r="G926" s="17"/>
    </row>
    <row r="927">
      <c r="A927" s="18"/>
      <c r="B927" s="17"/>
      <c r="C927" s="17"/>
      <c r="D927" s="17"/>
      <c r="E927" s="17"/>
      <c r="F927" s="17"/>
      <c r="G927" s="17"/>
    </row>
    <row r="928">
      <c r="A928" s="18"/>
      <c r="B928" s="17"/>
      <c r="C928" s="17"/>
      <c r="D928" s="17"/>
      <c r="E928" s="17"/>
      <c r="F928" s="17"/>
      <c r="G928" s="17"/>
    </row>
    <row r="929">
      <c r="A929" s="18"/>
      <c r="B929" s="17"/>
      <c r="C929" s="17"/>
      <c r="D929" s="17"/>
      <c r="E929" s="17"/>
      <c r="F929" s="17"/>
      <c r="G929" s="17"/>
    </row>
    <row r="930">
      <c r="A930" s="18"/>
      <c r="B930" s="17"/>
      <c r="C930" s="17"/>
      <c r="D930" s="17"/>
      <c r="E930" s="17"/>
      <c r="F930" s="17"/>
      <c r="G930" s="17"/>
    </row>
    <row r="931">
      <c r="A931" s="18"/>
      <c r="B931" s="17"/>
      <c r="C931" s="17"/>
      <c r="D931" s="17"/>
      <c r="E931" s="17"/>
      <c r="F931" s="17"/>
      <c r="G931" s="17"/>
    </row>
    <row r="932">
      <c r="A932" s="18"/>
      <c r="B932" s="17"/>
      <c r="C932" s="17"/>
      <c r="D932" s="17"/>
      <c r="E932" s="17"/>
      <c r="F932" s="17"/>
      <c r="G932" s="17"/>
    </row>
    <row r="933">
      <c r="A933" s="18"/>
      <c r="B933" s="17"/>
      <c r="C933" s="17"/>
      <c r="D933" s="17"/>
      <c r="E933" s="17"/>
      <c r="F933" s="17"/>
      <c r="G933" s="17"/>
    </row>
    <row r="934">
      <c r="A934" s="18"/>
      <c r="B934" s="17"/>
      <c r="C934" s="17"/>
      <c r="D934" s="17"/>
      <c r="E934" s="17"/>
      <c r="F934" s="17"/>
      <c r="G934" s="17"/>
    </row>
    <row r="935">
      <c r="A935" s="18"/>
      <c r="B935" s="17"/>
      <c r="C935" s="17"/>
      <c r="D935" s="17"/>
      <c r="E935" s="17"/>
      <c r="F935" s="17"/>
      <c r="G935" s="17"/>
    </row>
    <row r="936">
      <c r="A936" s="18"/>
      <c r="B936" s="17"/>
      <c r="C936" s="17"/>
      <c r="D936" s="17"/>
      <c r="E936" s="17"/>
      <c r="F936" s="17"/>
      <c r="G936" s="17"/>
    </row>
    <row r="937">
      <c r="A937" s="18"/>
      <c r="B937" s="17"/>
      <c r="C937" s="17"/>
      <c r="D937" s="17"/>
      <c r="E937" s="17"/>
      <c r="F937" s="17"/>
      <c r="G937" s="17"/>
    </row>
    <row r="938">
      <c r="A938" s="18"/>
      <c r="B938" s="17"/>
      <c r="C938" s="17"/>
      <c r="D938" s="17"/>
      <c r="E938" s="17"/>
      <c r="F938" s="17"/>
      <c r="G938" s="17"/>
    </row>
    <row r="939">
      <c r="A939" s="18"/>
      <c r="B939" s="17"/>
      <c r="C939" s="17"/>
      <c r="D939" s="17"/>
      <c r="E939" s="17"/>
      <c r="F939" s="17"/>
      <c r="G939" s="17"/>
    </row>
    <row r="940">
      <c r="A940" s="18"/>
      <c r="B940" s="17"/>
      <c r="C940" s="17"/>
      <c r="D940" s="17"/>
      <c r="E940" s="17"/>
      <c r="F940" s="17"/>
      <c r="G940" s="17"/>
    </row>
    <row r="941">
      <c r="A941" s="18"/>
      <c r="B941" s="17"/>
      <c r="C941" s="17"/>
      <c r="D941" s="17"/>
      <c r="E941" s="17"/>
      <c r="F941" s="17"/>
      <c r="G941" s="17"/>
    </row>
    <row r="942">
      <c r="A942" s="18"/>
      <c r="B942" s="17"/>
      <c r="C942" s="17"/>
      <c r="D942" s="17"/>
      <c r="E942" s="17"/>
      <c r="F942" s="17"/>
      <c r="G942" s="17"/>
    </row>
    <row r="943">
      <c r="A943" s="18"/>
      <c r="B943" s="17"/>
      <c r="C943" s="17"/>
      <c r="D943" s="17"/>
      <c r="E943" s="17"/>
      <c r="F943" s="17"/>
      <c r="G943" s="17"/>
    </row>
    <row r="944">
      <c r="A944" s="18"/>
      <c r="B944" s="17"/>
      <c r="C944" s="17"/>
      <c r="D944" s="17"/>
      <c r="E944" s="17"/>
      <c r="F944" s="17"/>
      <c r="G944" s="17"/>
    </row>
    <row r="945">
      <c r="A945" s="18"/>
      <c r="B945" s="17"/>
      <c r="C945" s="17"/>
      <c r="D945" s="17"/>
      <c r="E945" s="17"/>
      <c r="F945" s="17"/>
      <c r="G945" s="17"/>
    </row>
    <row r="946">
      <c r="A946" s="18"/>
      <c r="B946" s="17"/>
      <c r="C946" s="17"/>
      <c r="D946" s="17"/>
      <c r="E946" s="17"/>
      <c r="F946" s="17"/>
      <c r="G946" s="17"/>
    </row>
    <row r="947">
      <c r="A947" s="18"/>
      <c r="B947" s="17"/>
      <c r="C947" s="17"/>
      <c r="D947" s="17"/>
      <c r="E947" s="17"/>
      <c r="F947" s="17"/>
      <c r="G947" s="17"/>
    </row>
    <row r="948">
      <c r="A948" s="18"/>
      <c r="B948" s="17"/>
      <c r="C948" s="17"/>
      <c r="D948" s="17"/>
      <c r="E948" s="17"/>
      <c r="F948" s="17"/>
      <c r="G948" s="17"/>
    </row>
    <row r="949">
      <c r="A949" s="18"/>
      <c r="B949" s="17"/>
      <c r="C949" s="17"/>
      <c r="D949" s="17"/>
      <c r="E949" s="17"/>
      <c r="F949" s="17"/>
      <c r="G949" s="17"/>
    </row>
    <row r="950">
      <c r="A950" s="18"/>
      <c r="B950" s="17"/>
      <c r="C950" s="17"/>
      <c r="D950" s="17"/>
      <c r="E950" s="17"/>
      <c r="F950" s="17"/>
      <c r="G950" s="17"/>
    </row>
    <row r="951">
      <c r="A951" s="18"/>
      <c r="B951" s="17"/>
      <c r="C951" s="17"/>
      <c r="D951" s="17"/>
      <c r="E951" s="17"/>
      <c r="F951" s="17"/>
      <c r="G951" s="17"/>
    </row>
    <row r="952">
      <c r="A952" s="18"/>
      <c r="B952" s="17"/>
      <c r="C952" s="17"/>
      <c r="D952" s="17"/>
      <c r="E952" s="17"/>
      <c r="F952" s="17"/>
      <c r="G952" s="17"/>
    </row>
    <row r="953">
      <c r="A953" s="18"/>
      <c r="B953" s="17"/>
      <c r="C953" s="17"/>
      <c r="D953" s="17"/>
      <c r="E953" s="17"/>
      <c r="F953" s="17"/>
      <c r="G953" s="17"/>
    </row>
    <row r="954">
      <c r="A954" s="18"/>
      <c r="B954" s="17"/>
      <c r="C954" s="17"/>
      <c r="D954" s="17"/>
      <c r="E954" s="17"/>
      <c r="F954" s="17"/>
      <c r="G954" s="17"/>
    </row>
    <row r="955">
      <c r="A955" s="18"/>
      <c r="B955" s="17"/>
      <c r="C955" s="17"/>
      <c r="D955" s="17"/>
      <c r="E955" s="17"/>
      <c r="F955" s="17"/>
      <c r="G955" s="17"/>
    </row>
    <row r="956">
      <c r="A956" s="18"/>
      <c r="B956" s="17"/>
      <c r="C956" s="17"/>
      <c r="D956" s="17"/>
      <c r="E956" s="17"/>
      <c r="F956" s="17"/>
      <c r="G956" s="17"/>
    </row>
    <row r="957">
      <c r="A957" s="18"/>
      <c r="B957" s="17"/>
      <c r="C957" s="17"/>
      <c r="D957" s="17"/>
      <c r="E957" s="17"/>
      <c r="F957" s="17"/>
      <c r="G957" s="17"/>
    </row>
    <row r="958">
      <c r="A958" s="18"/>
      <c r="B958" s="17"/>
      <c r="C958" s="17"/>
      <c r="D958" s="17"/>
      <c r="E958" s="17"/>
      <c r="F958" s="17"/>
      <c r="G958" s="17"/>
    </row>
    <row r="959">
      <c r="A959" s="18"/>
      <c r="B959" s="17"/>
      <c r="C959" s="17"/>
      <c r="D959" s="17"/>
      <c r="E959" s="17"/>
      <c r="F959" s="17"/>
      <c r="G959" s="17"/>
    </row>
    <row r="960">
      <c r="A960" s="18"/>
      <c r="B960" s="17"/>
      <c r="C960" s="17"/>
      <c r="D960" s="17"/>
      <c r="E960" s="17"/>
      <c r="F960" s="17"/>
      <c r="G960" s="17"/>
    </row>
    <row r="961">
      <c r="A961" s="18"/>
      <c r="B961" s="17"/>
      <c r="C961" s="17"/>
      <c r="D961" s="17"/>
      <c r="E961" s="17"/>
      <c r="F961" s="17"/>
      <c r="G961" s="17"/>
    </row>
    <row r="962">
      <c r="A962" s="18"/>
      <c r="B962" s="17"/>
      <c r="C962" s="17"/>
      <c r="D962" s="17"/>
      <c r="E962" s="17"/>
      <c r="F962" s="17"/>
      <c r="G962" s="17"/>
    </row>
    <row r="963">
      <c r="A963" s="18"/>
      <c r="B963" s="17"/>
      <c r="C963" s="17"/>
      <c r="D963" s="17"/>
      <c r="E963" s="17"/>
      <c r="F963" s="17"/>
      <c r="G963" s="17"/>
    </row>
    <row r="964">
      <c r="A964" s="18"/>
      <c r="B964" s="17"/>
      <c r="C964" s="17"/>
      <c r="D964" s="17"/>
      <c r="E964" s="17"/>
      <c r="F964" s="17"/>
      <c r="G964" s="17"/>
    </row>
    <row r="965">
      <c r="A965" s="18"/>
      <c r="B965" s="17"/>
      <c r="C965" s="17"/>
      <c r="D965" s="17"/>
      <c r="E965" s="17"/>
      <c r="F965" s="17"/>
      <c r="G965" s="17"/>
    </row>
    <row r="966">
      <c r="A966" s="18"/>
      <c r="B966" s="17"/>
      <c r="C966" s="17"/>
      <c r="D966" s="17"/>
      <c r="E966" s="17"/>
      <c r="F966" s="17"/>
      <c r="G966" s="17"/>
    </row>
    <row r="967">
      <c r="A967" s="18"/>
      <c r="B967" s="17"/>
      <c r="C967" s="17"/>
      <c r="D967" s="17"/>
      <c r="E967" s="17"/>
      <c r="F967" s="17"/>
      <c r="G967" s="17"/>
    </row>
    <row r="968">
      <c r="A968" s="18"/>
      <c r="B968" s="17"/>
      <c r="C968" s="17"/>
      <c r="D968" s="17"/>
      <c r="E968" s="17"/>
      <c r="F968" s="17"/>
      <c r="G968" s="17"/>
    </row>
    <row r="969">
      <c r="A969" s="18"/>
      <c r="B969" s="17"/>
      <c r="C969" s="17"/>
      <c r="D969" s="17"/>
      <c r="E969" s="17"/>
      <c r="F969" s="17"/>
      <c r="G969" s="17"/>
    </row>
    <row r="970">
      <c r="A970" s="18"/>
      <c r="B970" s="17"/>
      <c r="C970" s="17"/>
      <c r="D970" s="17"/>
      <c r="E970" s="17"/>
      <c r="F970" s="17"/>
      <c r="G970" s="17"/>
    </row>
    <row r="971">
      <c r="A971" s="18"/>
      <c r="B971" s="17"/>
      <c r="C971" s="17"/>
      <c r="D971" s="17"/>
      <c r="E971" s="17"/>
      <c r="F971" s="17"/>
      <c r="G971" s="17"/>
    </row>
    <row r="972">
      <c r="A972" s="18"/>
      <c r="B972" s="17"/>
      <c r="C972" s="17"/>
      <c r="D972" s="17"/>
      <c r="E972" s="17"/>
      <c r="F972" s="17"/>
      <c r="G972" s="17"/>
    </row>
    <row r="973">
      <c r="A973" s="18"/>
      <c r="B973" s="17"/>
      <c r="C973" s="17"/>
      <c r="D973" s="17"/>
      <c r="E973" s="17"/>
      <c r="F973" s="17"/>
      <c r="G973" s="17"/>
    </row>
    <row r="974">
      <c r="A974" s="18"/>
      <c r="B974" s="17"/>
      <c r="C974" s="17"/>
      <c r="D974" s="17"/>
      <c r="E974" s="17"/>
      <c r="F974" s="17"/>
      <c r="G974" s="17"/>
    </row>
    <row r="975">
      <c r="A975" s="18"/>
      <c r="B975" s="17"/>
      <c r="C975" s="17"/>
      <c r="D975" s="17"/>
      <c r="E975" s="17"/>
      <c r="F975" s="17"/>
      <c r="G975" s="17"/>
    </row>
    <row r="976">
      <c r="A976" s="18"/>
      <c r="B976" s="17"/>
      <c r="C976" s="17"/>
      <c r="D976" s="17"/>
      <c r="E976" s="17"/>
      <c r="F976" s="17"/>
      <c r="G976" s="17"/>
    </row>
    <row r="977">
      <c r="A977" s="18"/>
      <c r="B977" s="17"/>
      <c r="C977" s="17"/>
      <c r="D977" s="17"/>
      <c r="E977" s="17"/>
      <c r="F977" s="17"/>
      <c r="G977" s="17"/>
    </row>
    <row r="978">
      <c r="A978" s="18"/>
      <c r="B978" s="17"/>
      <c r="C978" s="17"/>
      <c r="D978" s="17"/>
      <c r="E978" s="17"/>
      <c r="F978" s="17"/>
      <c r="G978" s="17"/>
    </row>
    <row r="979">
      <c r="A979" s="18"/>
      <c r="B979" s="17"/>
      <c r="C979" s="17"/>
      <c r="D979" s="17"/>
      <c r="E979" s="17"/>
      <c r="F979" s="17"/>
      <c r="G979" s="17"/>
    </row>
    <row r="980">
      <c r="A980" s="18"/>
      <c r="B980" s="17"/>
      <c r="C980" s="17"/>
      <c r="D980" s="17"/>
      <c r="E980" s="17"/>
      <c r="F980" s="17"/>
      <c r="G980" s="17"/>
    </row>
    <row r="981">
      <c r="A981" s="18"/>
      <c r="B981" s="17"/>
      <c r="C981" s="17"/>
      <c r="D981" s="17"/>
      <c r="E981" s="17"/>
      <c r="F981" s="17"/>
      <c r="G981" s="17"/>
    </row>
    <row r="982">
      <c r="A982" s="18"/>
      <c r="B982" s="17"/>
      <c r="C982" s="17"/>
      <c r="D982" s="17"/>
      <c r="E982" s="17"/>
      <c r="F982" s="17"/>
      <c r="G982" s="17"/>
    </row>
    <row r="983">
      <c r="A983" s="18"/>
      <c r="B983" s="17"/>
      <c r="C983" s="17"/>
      <c r="D983" s="17"/>
      <c r="E983" s="17"/>
      <c r="F983" s="17"/>
      <c r="G983" s="17"/>
    </row>
    <row r="984">
      <c r="A984" s="18"/>
      <c r="B984" s="17"/>
      <c r="C984" s="17"/>
      <c r="D984" s="17"/>
      <c r="E984" s="17"/>
      <c r="F984" s="17"/>
      <c r="G984" s="17"/>
    </row>
    <row r="985">
      <c r="A985" s="18"/>
      <c r="B985" s="17"/>
      <c r="C985" s="17"/>
      <c r="D985" s="17"/>
      <c r="E985" s="17"/>
      <c r="F985" s="17"/>
      <c r="G985" s="17"/>
    </row>
    <row r="986">
      <c r="A986" s="18"/>
      <c r="B986" s="17"/>
      <c r="C986" s="17"/>
      <c r="D986" s="17"/>
      <c r="E986" s="17"/>
      <c r="F986" s="17"/>
      <c r="G986" s="17"/>
    </row>
    <row r="987">
      <c r="A987" s="18"/>
      <c r="B987" s="17"/>
      <c r="C987" s="17"/>
      <c r="D987" s="17"/>
      <c r="E987" s="17"/>
      <c r="F987" s="17"/>
      <c r="G987" s="17"/>
    </row>
    <row r="988">
      <c r="A988" s="18"/>
      <c r="B988" s="17"/>
      <c r="C988" s="17"/>
      <c r="D988" s="17"/>
      <c r="E988" s="17"/>
      <c r="F988" s="17"/>
      <c r="G988" s="17"/>
    </row>
    <row r="989">
      <c r="A989" s="18"/>
      <c r="B989" s="17"/>
      <c r="C989" s="17"/>
      <c r="D989" s="17"/>
      <c r="E989" s="17"/>
      <c r="F989" s="17"/>
      <c r="G989" s="17"/>
    </row>
    <row r="990">
      <c r="A990" s="18"/>
      <c r="B990" s="17"/>
      <c r="C990" s="17"/>
      <c r="D990" s="17"/>
      <c r="E990" s="17"/>
      <c r="F990" s="17"/>
      <c r="G990" s="17"/>
    </row>
    <row r="991">
      <c r="A991" s="18"/>
      <c r="B991" s="17"/>
      <c r="C991" s="17"/>
      <c r="D991" s="17"/>
      <c r="E991" s="17"/>
      <c r="F991" s="17"/>
      <c r="G991" s="17"/>
    </row>
    <row r="992">
      <c r="A992" s="18"/>
      <c r="B992" s="17"/>
      <c r="C992" s="17"/>
      <c r="D992" s="17"/>
      <c r="E992" s="17"/>
      <c r="F992" s="17"/>
      <c r="G992" s="17"/>
    </row>
    <row r="993">
      <c r="A993" s="18"/>
      <c r="B993" s="17"/>
      <c r="C993" s="17"/>
      <c r="D993" s="17"/>
      <c r="E993" s="17"/>
      <c r="F993" s="17"/>
      <c r="G993" s="17"/>
    </row>
    <row r="994">
      <c r="A994" s="18"/>
      <c r="B994" s="17"/>
      <c r="C994" s="17"/>
      <c r="D994" s="17"/>
      <c r="E994" s="17"/>
      <c r="F994" s="17"/>
      <c r="G994" s="17"/>
    </row>
    <row r="995">
      <c r="A995" s="18"/>
      <c r="B995" s="17"/>
      <c r="C995" s="17"/>
      <c r="D995" s="17"/>
      <c r="E995" s="17"/>
      <c r="F995" s="17"/>
      <c r="G995" s="17"/>
    </row>
    <row r="996">
      <c r="A996" s="18"/>
      <c r="B996" s="17"/>
      <c r="C996" s="17"/>
      <c r="D996" s="17"/>
      <c r="E996" s="17"/>
      <c r="F996" s="17"/>
      <c r="G996" s="17"/>
    </row>
    <row r="997">
      <c r="A997" s="18"/>
      <c r="B997" s="17"/>
      <c r="C997" s="17"/>
      <c r="D997" s="17"/>
      <c r="E997" s="17"/>
      <c r="F997" s="17"/>
      <c r="G997" s="17"/>
    </row>
    <row r="998">
      <c r="A998" s="18"/>
      <c r="B998" s="17"/>
      <c r="C998" s="17"/>
      <c r="D998" s="17"/>
      <c r="E998" s="17"/>
      <c r="F998" s="17"/>
      <c r="G998" s="17"/>
    </row>
    <row r="999">
      <c r="A999" s="18"/>
      <c r="B999" s="17"/>
      <c r="C999" s="17"/>
      <c r="D999" s="17"/>
      <c r="E999" s="17"/>
      <c r="F999" s="17"/>
      <c r="G999" s="17"/>
    </row>
    <row r="1000">
      <c r="A1000" s="18"/>
      <c r="B1000" s="17"/>
      <c r="C1000" s="17"/>
      <c r="D1000" s="17"/>
      <c r="E1000" s="17"/>
      <c r="F1000" s="17"/>
      <c r="G1000" s="17"/>
    </row>
    <row r="1001">
      <c r="A1001" s="18"/>
      <c r="B1001" s="17"/>
      <c r="C1001" s="17"/>
      <c r="D1001" s="17"/>
      <c r="E1001" s="17"/>
      <c r="F1001" s="17"/>
      <c r="G1001" s="17"/>
    </row>
    <row r="1002">
      <c r="A1002" s="18"/>
      <c r="B1002" s="17"/>
      <c r="C1002" s="17"/>
      <c r="D1002" s="17"/>
      <c r="E1002" s="17"/>
      <c r="F1002" s="17"/>
      <c r="G1002" s="17"/>
    </row>
    <row r="1003">
      <c r="A1003" s="18"/>
      <c r="B1003" s="17"/>
      <c r="C1003" s="17"/>
      <c r="D1003" s="17"/>
      <c r="E1003" s="17"/>
      <c r="F1003" s="17"/>
      <c r="G1003" s="17"/>
    </row>
    <row r="1004">
      <c r="A1004" s="18"/>
      <c r="B1004" s="17"/>
      <c r="C1004" s="17"/>
      <c r="D1004" s="17"/>
      <c r="E1004" s="17"/>
      <c r="F1004" s="17"/>
      <c r="G1004" s="17"/>
    </row>
    <row r="1005">
      <c r="A1005" s="18"/>
      <c r="B1005" s="17"/>
      <c r="C1005" s="17"/>
      <c r="D1005" s="17"/>
      <c r="E1005" s="17"/>
      <c r="F1005" s="17"/>
      <c r="G1005" s="17"/>
    </row>
    <row r="1006">
      <c r="A1006" s="18"/>
      <c r="B1006" s="17"/>
      <c r="C1006" s="17"/>
      <c r="D1006" s="17"/>
      <c r="E1006" s="17"/>
      <c r="F1006" s="17"/>
      <c r="G1006" s="17"/>
    </row>
    <row r="1007">
      <c r="A1007" s="18"/>
      <c r="B1007" s="17"/>
      <c r="C1007" s="17"/>
      <c r="D1007" s="17"/>
      <c r="E1007" s="17"/>
      <c r="F1007" s="17"/>
      <c r="G1007" s="17"/>
    </row>
    <row r="1008">
      <c r="A1008" s="18"/>
      <c r="B1008" s="17"/>
      <c r="C1008" s="17"/>
      <c r="D1008" s="17"/>
      <c r="E1008" s="17"/>
      <c r="F1008" s="17"/>
      <c r="G1008" s="17"/>
    </row>
    <row r="1009">
      <c r="A1009" s="18"/>
      <c r="B1009" s="17"/>
      <c r="C1009" s="17"/>
      <c r="D1009" s="17"/>
      <c r="E1009" s="17"/>
      <c r="F1009" s="17"/>
      <c r="G1009" s="17"/>
    </row>
    <row r="1010">
      <c r="A1010" s="18"/>
      <c r="B1010" s="17"/>
      <c r="C1010" s="17"/>
      <c r="D1010" s="17"/>
      <c r="E1010" s="17"/>
      <c r="F1010" s="17"/>
      <c r="G1010" s="17"/>
    </row>
    <row r="1011">
      <c r="A1011" s="18"/>
      <c r="B1011" s="17"/>
      <c r="C1011" s="17"/>
      <c r="D1011" s="17"/>
      <c r="E1011" s="17"/>
      <c r="F1011" s="17"/>
      <c r="G1011" s="17"/>
    </row>
    <row r="1012">
      <c r="A1012" s="18"/>
      <c r="B1012" s="17"/>
      <c r="C1012" s="17"/>
      <c r="D1012" s="17"/>
      <c r="E1012" s="17"/>
      <c r="F1012" s="17"/>
      <c r="G1012" s="17"/>
    </row>
    <row r="1013">
      <c r="A1013" s="18"/>
      <c r="B1013" s="17"/>
      <c r="C1013" s="17"/>
      <c r="D1013" s="17"/>
      <c r="E1013" s="17"/>
      <c r="F1013" s="17"/>
      <c r="G1013" s="17"/>
    </row>
    <row r="1014">
      <c r="A1014" s="18"/>
      <c r="B1014" s="17"/>
      <c r="C1014" s="17"/>
      <c r="D1014" s="17"/>
      <c r="E1014" s="17"/>
      <c r="F1014" s="17"/>
      <c r="G1014" s="17"/>
    </row>
    <row r="1015">
      <c r="A1015" s="18"/>
      <c r="B1015" s="17"/>
      <c r="C1015" s="17"/>
      <c r="D1015" s="17"/>
      <c r="E1015" s="17"/>
      <c r="F1015" s="17"/>
      <c r="G1015" s="17"/>
    </row>
    <row r="1016">
      <c r="A1016" s="18"/>
      <c r="B1016" s="17"/>
      <c r="C1016" s="17"/>
      <c r="D1016" s="17"/>
      <c r="E1016" s="17"/>
      <c r="F1016" s="17"/>
      <c r="G1016" s="17"/>
    </row>
    <row r="1017">
      <c r="A1017" s="18"/>
      <c r="B1017" s="17"/>
      <c r="C1017" s="17"/>
      <c r="D1017" s="17"/>
      <c r="E1017" s="17"/>
      <c r="F1017" s="17"/>
      <c r="G1017" s="17"/>
    </row>
    <row r="1018">
      <c r="A1018" s="18"/>
      <c r="B1018" s="17"/>
      <c r="C1018" s="17"/>
      <c r="D1018" s="17"/>
      <c r="E1018" s="17"/>
      <c r="F1018" s="17"/>
      <c r="G1018" s="17"/>
    </row>
    <row r="1019">
      <c r="A1019" s="18"/>
      <c r="B1019" s="17"/>
      <c r="C1019" s="17"/>
      <c r="D1019" s="17"/>
      <c r="E1019" s="17"/>
      <c r="F1019" s="17"/>
      <c r="G1019" s="17"/>
    </row>
    <row r="1020">
      <c r="A1020" s="18"/>
      <c r="B1020" s="17"/>
      <c r="C1020" s="17"/>
      <c r="D1020" s="17"/>
      <c r="E1020" s="17"/>
      <c r="F1020" s="17"/>
      <c r="G1020" s="17"/>
    </row>
    <row r="1021">
      <c r="A1021" s="18"/>
      <c r="B1021" s="17"/>
      <c r="C1021" s="17"/>
      <c r="D1021" s="17"/>
      <c r="E1021" s="17"/>
      <c r="F1021" s="17"/>
      <c r="G1021" s="17"/>
    </row>
    <row r="1022">
      <c r="A1022" s="18"/>
      <c r="B1022" s="17"/>
      <c r="C1022" s="17"/>
      <c r="D1022" s="17"/>
      <c r="E1022" s="17"/>
      <c r="F1022" s="17"/>
      <c r="G1022" s="17"/>
    </row>
    <row r="1023">
      <c r="A1023" s="18"/>
      <c r="B1023" s="17"/>
      <c r="C1023" s="17"/>
      <c r="D1023" s="17"/>
      <c r="E1023" s="17"/>
      <c r="F1023" s="17"/>
      <c r="G1023" s="17"/>
    </row>
    <row r="1024">
      <c r="A1024" s="18"/>
      <c r="B1024" s="17"/>
      <c r="C1024" s="17"/>
      <c r="D1024" s="17"/>
      <c r="E1024" s="17"/>
      <c r="F1024" s="17"/>
      <c r="G1024" s="17"/>
    </row>
    <row r="1025">
      <c r="A1025" s="18"/>
      <c r="B1025" s="17"/>
      <c r="C1025" s="17"/>
      <c r="D1025" s="17"/>
      <c r="E1025" s="17"/>
      <c r="F1025" s="17"/>
      <c r="G1025" s="17"/>
    </row>
    <row r="1026">
      <c r="A1026" s="18"/>
      <c r="B1026" s="17"/>
      <c r="C1026" s="17"/>
      <c r="D1026" s="17"/>
      <c r="E1026" s="17"/>
      <c r="F1026" s="17"/>
      <c r="G1026" s="17"/>
    </row>
    <row r="1027">
      <c r="A1027" s="18"/>
      <c r="B1027" s="17"/>
      <c r="C1027" s="17"/>
      <c r="D1027" s="17"/>
      <c r="E1027" s="17"/>
      <c r="F1027" s="17"/>
      <c r="G1027" s="17"/>
    </row>
    <row r="1028">
      <c r="A1028" s="18"/>
      <c r="B1028" s="17"/>
      <c r="C1028" s="17"/>
      <c r="D1028" s="17"/>
      <c r="E1028" s="17"/>
      <c r="F1028" s="17"/>
      <c r="G1028" s="17"/>
    </row>
    <row r="1029">
      <c r="A1029" s="18"/>
      <c r="B1029" s="17"/>
      <c r="C1029" s="17"/>
      <c r="D1029" s="17"/>
      <c r="E1029" s="17"/>
      <c r="F1029" s="17"/>
      <c r="G1029" s="17"/>
    </row>
    <row r="1030">
      <c r="A1030" s="18"/>
      <c r="B1030" s="17"/>
      <c r="C1030" s="17"/>
      <c r="D1030" s="17"/>
      <c r="E1030" s="17"/>
      <c r="F1030" s="17"/>
      <c r="G1030" s="17"/>
    </row>
    <row r="1031">
      <c r="A1031" s="18"/>
      <c r="B1031" s="17"/>
      <c r="C1031" s="17"/>
      <c r="D1031" s="17"/>
      <c r="E1031" s="17"/>
      <c r="F1031" s="17"/>
      <c r="G1031" s="17"/>
    </row>
    <row r="1032">
      <c r="A1032" s="18"/>
      <c r="B1032" s="17"/>
      <c r="C1032" s="17"/>
      <c r="D1032" s="17"/>
      <c r="E1032" s="17"/>
      <c r="F1032" s="17"/>
      <c r="G1032" s="17"/>
    </row>
    <row r="1033">
      <c r="A1033" s="18"/>
      <c r="B1033" s="17"/>
      <c r="C1033" s="17"/>
      <c r="D1033" s="17"/>
      <c r="E1033" s="17"/>
      <c r="F1033" s="17"/>
      <c r="G1033" s="17"/>
    </row>
    <row r="1034">
      <c r="A1034" s="18"/>
      <c r="B1034" s="17"/>
      <c r="C1034" s="17"/>
      <c r="D1034" s="17"/>
      <c r="E1034" s="17"/>
      <c r="F1034" s="17"/>
      <c r="G1034" s="17"/>
    </row>
    <row r="1035">
      <c r="A1035" s="18"/>
      <c r="B1035" s="17"/>
      <c r="C1035" s="17"/>
      <c r="D1035" s="17"/>
      <c r="E1035" s="17"/>
      <c r="F1035" s="17"/>
      <c r="G1035" s="17"/>
    </row>
    <row r="1036">
      <c r="A1036" s="18"/>
      <c r="B1036" s="17"/>
      <c r="C1036" s="17"/>
      <c r="D1036" s="17"/>
      <c r="E1036" s="17"/>
      <c r="F1036" s="17"/>
      <c r="G1036" s="17"/>
    </row>
    <row r="1037">
      <c r="A1037" s="18"/>
      <c r="B1037" s="17"/>
      <c r="C1037" s="17"/>
      <c r="D1037" s="17"/>
      <c r="E1037" s="17"/>
      <c r="F1037" s="17"/>
      <c r="G1037" s="17"/>
    </row>
    <row r="1038">
      <c r="A1038" s="18"/>
      <c r="B1038" s="17"/>
      <c r="C1038" s="17"/>
      <c r="D1038" s="17"/>
      <c r="E1038" s="17"/>
      <c r="F1038" s="17"/>
      <c r="G1038" s="17"/>
    </row>
    <row r="1039">
      <c r="A1039" s="18"/>
      <c r="B1039" s="17"/>
      <c r="C1039" s="17"/>
      <c r="D1039" s="17"/>
      <c r="E1039" s="17"/>
      <c r="F1039" s="17"/>
      <c r="G1039" s="17"/>
    </row>
    <row r="1040">
      <c r="A1040" s="18"/>
      <c r="B1040" s="17"/>
      <c r="C1040" s="17"/>
      <c r="D1040" s="17"/>
      <c r="E1040" s="17"/>
      <c r="F1040" s="17"/>
      <c r="G1040" s="17"/>
    </row>
    <row r="1041">
      <c r="A1041" s="18"/>
      <c r="B1041" s="17"/>
      <c r="C1041" s="17"/>
      <c r="D1041" s="17"/>
      <c r="E1041" s="17"/>
      <c r="F1041" s="17"/>
      <c r="G1041" s="17"/>
    </row>
    <row r="1042">
      <c r="A1042" s="18"/>
      <c r="B1042" s="17"/>
      <c r="C1042" s="17"/>
      <c r="D1042" s="17"/>
      <c r="E1042" s="17"/>
      <c r="F1042" s="17"/>
      <c r="G1042" s="17"/>
    </row>
    <row r="1043">
      <c r="A1043" s="18"/>
      <c r="B1043" s="17"/>
      <c r="C1043" s="17"/>
      <c r="D1043" s="17"/>
      <c r="E1043" s="17"/>
      <c r="F1043" s="17"/>
      <c r="G1043" s="17"/>
    </row>
    <row r="1044">
      <c r="A1044" s="18"/>
      <c r="B1044" s="17"/>
      <c r="C1044" s="17"/>
      <c r="D1044" s="17"/>
      <c r="E1044" s="17"/>
      <c r="F1044" s="17"/>
      <c r="G1044" s="17"/>
    </row>
  </sheetData>
  <mergeCells count="11">
    <mergeCell ref="L2:P2"/>
    <mergeCell ref="Q2:U2"/>
    <mergeCell ref="V2:Z2"/>
    <mergeCell ref="AA2:AE2"/>
    <mergeCell ref="A1:A3"/>
    <mergeCell ref="B1:P1"/>
    <mergeCell ref="Q1:AE1"/>
    <mergeCell ref="AG1:AI1"/>
    <mergeCell ref="AJ1:AL1"/>
    <mergeCell ref="B2:F2"/>
    <mergeCell ref="G2:K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19" t="s">
        <v>1</v>
      </c>
      <c r="K1" s="20"/>
      <c r="L1" s="20" t="s">
        <v>2</v>
      </c>
      <c r="T1" s="4"/>
    </row>
    <row r="2">
      <c r="B2" s="10" t="s">
        <v>60</v>
      </c>
      <c r="C2" s="10" t="s">
        <v>8</v>
      </c>
      <c r="D2" s="10" t="s">
        <v>9</v>
      </c>
      <c r="E2" s="10" t="s">
        <v>10</v>
      </c>
      <c r="F2" s="10" t="s">
        <v>61</v>
      </c>
      <c r="G2" s="10" t="s">
        <v>13</v>
      </c>
      <c r="H2" s="10" t="s">
        <v>11</v>
      </c>
      <c r="I2" s="10" t="s">
        <v>15</v>
      </c>
      <c r="J2" s="10" t="s">
        <v>62</v>
      </c>
      <c r="K2" s="11" t="s">
        <v>60</v>
      </c>
      <c r="L2" s="11" t="s">
        <v>8</v>
      </c>
      <c r="M2" s="11" t="s">
        <v>9</v>
      </c>
      <c r="N2" s="11" t="s">
        <v>10</v>
      </c>
      <c r="O2" s="11" t="s">
        <v>61</v>
      </c>
      <c r="P2" s="11" t="s">
        <v>13</v>
      </c>
      <c r="Q2" s="11" t="s">
        <v>11</v>
      </c>
      <c r="R2" s="11" t="s">
        <v>15</v>
      </c>
      <c r="S2" s="11" t="s">
        <v>62</v>
      </c>
      <c r="T2" s="12"/>
    </row>
    <row r="3">
      <c r="A3" s="14" t="s">
        <v>16</v>
      </c>
      <c r="B3" s="21">
        <v>-0.8322560356</v>
      </c>
      <c r="C3" s="21">
        <v>-0.1699832198</v>
      </c>
      <c r="D3" s="21">
        <v>-0.1699832198</v>
      </c>
      <c r="E3" s="21">
        <v>-0.7575090723</v>
      </c>
      <c r="F3" s="21">
        <v>-0.7995220702</v>
      </c>
      <c r="G3" s="21">
        <v>-0.8228706587</v>
      </c>
      <c r="H3" s="21">
        <v>-0.8305577276</v>
      </c>
      <c r="I3" s="21">
        <v>-0.8305577276</v>
      </c>
      <c r="J3" s="21">
        <v>-0.8305577276</v>
      </c>
      <c r="K3" s="22">
        <v>-0.7822976916</v>
      </c>
      <c r="L3" s="22">
        <v>-0.1825879843</v>
      </c>
      <c r="M3" s="22">
        <v>-0.1825879843</v>
      </c>
      <c r="N3" s="22">
        <v>-0.7307436126</v>
      </c>
      <c r="O3" s="22">
        <v>-0.760799832</v>
      </c>
      <c r="P3" s="22">
        <v>-0.7822976916</v>
      </c>
      <c r="Q3" s="22">
        <v>-0.7822976916</v>
      </c>
      <c r="R3" s="22">
        <v>-0.7533771936</v>
      </c>
      <c r="S3" s="22">
        <v>-0.7822976916</v>
      </c>
    </row>
    <row r="4">
      <c r="A4" s="14" t="s">
        <v>17</v>
      </c>
      <c r="B4" s="21">
        <v>-0.7870785051</v>
      </c>
      <c r="C4" s="21">
        <v>-0.212077512</v>
      </c>
      <c r="D4" s="21">
        <v>-0.2353590207</v>
      </c>
      <c r="E4" s="21">
        <v>-0.6637464505</v>
      </c>
      <c r="F4" s="21">
        <v>-0.7676133247</v>
      </c>
      <c r="G4" s="21">
        <v>-0.7870785051</v>
      </c>
      <c r="H4" s="21">
        <v>-0.7870785051</v>
      </c>
      <c r="I4" s="21">
        <v>-0.7784043767</v>
      </c>
      <c r="J4" s="21">
        <v>-0.7870785051</v>
      </c>
      <c r="K4" s="22">
        <v>-0.7438642337</v>
      </c>
      <c r="L4" s="22">
        <v>-0.112206443</v>
      </c>
      <c r="M4" s="22">
        <v>-0.1366557647</v>
      </c>
      <c r="N4" s="22">
        <v>-0.6246356389</v>
      </c>
      <c r="O4" s="22">
        <v>-0.7312744422</v>
      </c>
      <c r="P4" s="22">
        <v>-0.7430794881</v>
      </c>
      <c r="Q4" s="22">
        <v>-0.7430794881</v>
      </c>
      <c r="R4" s="22">
        <v>-0.7130134657</v>
      </c>
      <c r="S4" s="22">
        <v>-0.7430794881</v>
      </c>
    </row>
    <row r="5">
      <c r="A5" s="14" t="s">
        <v>18</v>
      </c>
      <c r="B5" s="21">
        <v>-0.8227484149</v>
      </c>
      <c r="C5" s="21">
        <v>-0.169763778</v>
      </c>
      <c r="D5" s="21">
        <v>-0.1473810591</v>
      </c>
      <c r="E5" s="21">
        <v>-0.7674300057</v>
      </c>
      <c r="F5" s="21">
        <v>-0.7889969608</v>
      </c>
      <c r="G5" s="21">
        <v>-0.8194058821</v>
      </c>
      <c r="H5" s="21">
        <v>-0.8194058821</v>
      </c>
      <c r="I5" s="21">
        <v>-0.7834279588</v>
      </c>
      <c r="J5" s="21">
        <v>-0.8212515703</v>
      </c>
      <c r="K5" s="22">
        <v>-0.80627091</v>
      </c>
      <c r="L5" s="22">
        <v>-0.1322098042</v>
      </c>
      <c r="M5" s="22">
        <v>-0.1226656292</v>
      </c>
      <c r="N5" s="22">
        <v>-0.7700943323</v>
      </c>
      <c r="O5" s="22">
        <v>-0.781743513</v>
      </c>
      <c r="P5" s="22">
        <v>-0.7996889327</v>
      </c>
      <c r="Q5" s="22">
        <v>-0.7996889327</v>
      </c>
      <c r="R5" s="22">
        <v>-0.7796215842</v>
      </c>
      <c r="S5" s="22">
        <v>-0.7996889327</v>
      </c>
    </row>
    <row r="6">
      <c r="A6" s="14" t="s">
        <v>19</v>
      </c>
      <c r="B6" s="21">
        <v>-0.8112137575</v>
      </c>
      <c r="C6" s="21">
        <v>-0.1771889004</v>
      </c>
      <c r="D6" s="21">
        <v>-0.1871043967</v>
      </c>
      <c r="E6" s="21">
        <v>-0.6758685524</v>
      </c>
      <c r="F6" s="21">
        <v>-0.792638612</v>
      </c>
      <c r="G6" s="21">
        <v>-0.8110577257</v>
      </c>
      <c r="H6" s="21">
        <v>-0.8112137575</v>
      </c>
      <c r="I6" s="21">
        <v>-0.8047294921</v>
      </c>
      <c r="J6" s="21">
        <v>-0.8112137575</v>
      </c>
      <c r="K6" s="22">
        <v>-0.7517813631</v>
      </c>
      <c r="L6" s="22">
        <v>-0.1335309486</v>
      </c>
      <c r="M6" s="22">
        <v>-0.1335309486</v>
      </c>
      <c r="N6" s="22">
        <v>-0.7432212861</v>
      </c>
      <c r="O6" s="22">
        <v>-0.7294485196</v>
      </c>
      <c r="P6" s="22">
        <v>-0.7517813631</v>
      </c>
      <c r="Q6" s="22">
        <v>-0.7517813631</v>
      </c>
      <c r="R6" s="22">
        <v>-0.7294485196</v>
      </c>
      <c r="S6" s="22">
        <v>-0.7517813631</v>
      </c>
    </row>
    <row r="7">
      <c r="A7" s="14" t="s">
        <v>20</v>
      </c>
      <c r="B7" s="21">
        <v>-0.8369422121</v>
      </c>
      <c r="C7" s="21">
        <v>-0.2467999689</v>
      </c>
      <c r="D7" s="21">
        <v>-0.31369945</v>
      </c>
      <c r="E7" s="21">
        <v>-0.7050329355</v>
      </c>
      <c r="F7" s="21">
        <v>-0.7881944377</v>
      </c>
      <c r="G7" s="21">
        <v>-0.8358889596</v>
      </c>
      <c r="H7" s="21">
        <v>-0.8358889596</v>
      </c>
      <c r="I7" s="21">
        <v>-0.8110238609</v>
      </c>
      <c r="J7" s="21">
        <v>-0.8358889596</v>
      </c>
      <c r="K7" s="22">
        <v>-0.7816703334</v>
      </c>
      <c r="L7" s="22">
        <v>-0.1729827665</v>
      </c>
      <c r="M7" s="22">
        <v>-0.2255199802</v>
      </c>
      <c r="N7" s="22">
        <v>-0.7384764011</v>
      </c>
      <c r="O7" s="22">
        <v>-0.7542331558</v>
      </c>
      <c r="P7" s="22">
        <v>-0.7816703334</v>
      </c>
      <c r="Q7" s="22">
        <v>-0.7816703334</v>
      </c>
      <c r="R7" s="22">
        <v>-0.7357698628</v>
      </c>
      <c r="S7" s="22">
        <v>-0.7816703334</v>
      </c>
    </row>
    <row r="8">
      <c r="A8" s="14" t="s">
        <v>21</v>
      </c>
      <c r="B8" s="21">
        <v>-0.8569794297</v>
      </c>
      <c r="C8" s="21">
        <v>-0.1814958799</v>
      </c>
      <c r="D8" s="21">
        <v>-0.1814958799</v>
      </c>
      <c r="E8" s="21">
        <v>-0.7351066721</v>
      </c>
      <c r="F8" s="21">
        <v>-0.8162248514</v>
      </c>
      <c r="G8" s="21">
        <v>-0.8517949445</v>
      </c>
      <c r="H8" s="21">
        <v>-0.8523998501</v>
      </c>
      <c r="I8" s="21">
        <v>-0.8481193507</v>
      </c>
      <c r="J8" s="21">
        <v>-0.8523998501</v>
      </c>
      <c r="K8" s="22">
        <v>-0.745003821</v>
      </c>
      <c r="L8" s="22">
        <v>-0.1246236781</v>
      </c>
      <c r="M8" s="22">
        <v>-0.09051772241</v>
      </c>
      <c r="N8" s="22">
        <v>-0.6504445178</v>
      </c>
      <c r="O8" s="22">
        <v>-0.7287137486</v>
      </c>
      <c r="P8" s="22">
        <v>-0.7375453401</v>
      </c>
      <c r="Q8" s="22">
        <v>-0.7375453401</v>
      </c>
      <c r="R8" s="22">
        <v>-0.7081406184</v>
      </c>
      <c r="S8" s="22">
        <v>-0.7377964638</v>
      </c>
    </row>
    <row r="9">
      <c r="A9" s="14" t="s">
        <v>22</v>
      </c>
      <c r="B9" s="21">
        <v>-0.8833550491</v>
      </c>
      <c r="C9" s="21">
        <v>-0.2120654288</v>
      </c>
      <c r="D9" s="21">
        <v>-0.2545804587</v>
      </c>
      <c r="E9" s="21">
        <v>-0.7743295161</v>
      </c>
      <c r="F9" s="21">
        <v>-0.8312436143</v>
      </c>
      <c r="G9" s="21">
        <v>-0.8709541907</v>
      </c>
      <c r="H9" s="21">
        <v>-0.8756366998</v>
      </c>
      <c r="I9" s="21">
        <v>-0.8016801234</v>
      </c>
      <c r="J9" s="21">
        <v>-0.8632580651</v>
      </c>
      <c r="K9" s="22">
        <v>-0.8372540812</v>
      </c>
      <c r="L9" s="22">
        <v>-0.1725902658</v>
      </c>
      <c r="M9" s="22">
        <v>-0.2102887285</v>
      </c>
      <c r="N9" s="22">
        <v>-0.7398818538</v>
      </c>
      <c r="O9" s="22">
        <v>-0.8026587634</v>
      </c>
      <c r="P9" s="22">
        <v>-0.8274764841</v>
      </c>
      <c r="Q9" s="22">
        <v>-0.8320360999</v>
      </c>
      <c r="R9" s="22">
        <v>-0.7413875916</v>
      </c>
      <c r="S9" s="22">
        <v>-0.8210812362</v>
      </c>
    </row>
    <row r="10">
      <c r="A10" s="14" t="s">
        <v>23</v>
      </c>
      <c r="B10" s="21">
        <v>-0.9423957649</v>
      </c>
      <c r="C10" s="21">
        <v>-0.1835075119</v>
      </c>
      <c r="D10" s="21">
        <v>-0.1835075119</v>
      </c>
      <c r="E10" s="21">
        <v>-0.844603808</v>
      </c>
      <c r="F10" s="21">
        <v>-0.8920943816</v>
      </c>
      <c r="G10" s="21">
        <v>-0.9308821024</v>
      </c>
      <c r="H10" s="21">
        <v>-0.9356042694</v>
      </c>
      <c r="I10" s="21">
        <v>-0.8650382199</v>
      </c>
      <c r="J10" s="21">
        <v>-0.9072861624</v>
      </c>
      <c r="K10" s="22">
        <v>-0.9316661061</v>
      </c>
      <c r="L10" s="22">
        <v>-0.2221309203</v>
      </c>
      <c r="M10" s="22">
        <v>-0.2276181802</v>
      </c>
      <c r="N10" s="22">
        <v>-0.754776335</v>
      </c>
      <c r="O10" s="22">
        <v>-0.8905468944</v>
      </c>
      <c r="P10" s="22">
        <v>-0.8997534264</v>
      </c>
      <c r="Q10" s="22">
        <v>-0.8663300812</v>
      </c>
      <c r="R10" s="22">
        <v>-0.8653382784</v>
      </c>
      <c r="S10" s="22">
        <v>-0.904529987</v>
      </c>
    </row>
    <row r="11">
      <c r="A11" s="14" t="s">
        <v>24</v>
      </c>
      <c r="B11" s="21">
        <v>-0.9029956576</v>
      </c>
      <c r="C11" s="21">
        <v>-0.3172093643</v>
      </c>
      <c r="D11" s="21">
        <v>-0.338319479</v>
      </c>
      <c r="E11" s="21">
        <v>-0.718439557</v>
      </c>
      <c r="F11" s="21">
        <v>-0.843125473</v>
      </c>
      <c r="G11" s="21">
        <v>-0.8621040755</v>
      </c>
      <c r="H11" s="21">
        <v>-0.8872182678</v>
      </c>
      <c r="I11" s="21">
        <v>-0.7916756214</v>
      </c>
      <c r="J11" s="21">
        <v>-0.8730293499</v>
      </c>
      <c r="K11" s="22">
        <v>-0.5998339578</v>
      </c>
      <c r="L11" s="22">
        <v>-0.2498345131</v>
      </c>
      <c r="M11" s="22">
        <v>-0.2500689097</v>
      </c>
      <c r="N11" s="22">
        <v>-0.6769096274</v>
      </c>
      <c r="O11" s="22">
        <v>-0.827687039</v>
      </c>
      <c r="P11" s="22">
        <v>-0.8757947801</v>
      </c>
      <c r="Q11" s="22">
        <v>-0.8448219568</v>
      </c>
      <c r="R11" s="22">
        <v>-0.7455051003</v>
      </c>
      <c r="S11" s="22">
        <v>-0.8627843994</v>
      </c>
    </row>
    <row r="12">
      <c r="A12" s="14" t="s">
        <v>25</v>
      </c>
      <c r="B12" s="21">
        <v>-0.7349594112</v>
      </c>
      <c r="C12" s="21">
        <v>-0.3367307243</v>
      </c>
      <c r="D12" s="21">
        <v>-0.284736021</v>
      </c>
      <c r="E12" s="21">
        <v>-0.7528714872</v>
      </c>
      <c r="F12" s="21">
        <v>-0.8469229003</v>
      </c>
      <c r="G12" s="21">
        <v>-0.9007920082</v>
      </c>
      <c r="H12" s="21">
        <v>-0.8961734748</v>
      </c>
      <c r="I12" s="21">
        <v>-0.8371830786</v>
      </c>
      <c r="J12" s="21">
        <v>-0.8911743739</v>
      </c>
      <c r="K12" s="22">
        <v>-0.8769586057</v>
      </c>
      <c r="L12" s="22">
        <v>-0.162322978</v>
      </c>
      <c r="M12" s="22">
        <v>-0.162093895</v>
      </c>
      <c r="N12" s="22">
        <v>-0.7061045508</v>
      </c>
      <c r="O12" s="22">
        <v>-0.8233527737</v>
      </c>
      <c r="P12" s="22">
        <v>-0.8537260355</v>
      </c>
      <c r="Q12" s="22">
        <v>-0.7824900206</v>
      </c>
      <c r="R12" s="22">
        <v>-0.775094722</v>
      </c>
      <c r="S12" s="22">
        <v>-0.8407448548</v>
      </c>
    </row>
    <row r="13">
      <c r="A13" s="14" t="s">
        <v>26</v>
      </c>
      <c r="B13" s="21">
        <v>-0.4292341892</v>
      </c>
      <c r="C13" s="21">
        <v>-0.1943663407</v>
      </c>
      <c r="D13" s="21">
        <v>-0.2105775023</v>
      </c>
      <c r="E13" s="21">
        <v>-0.6827349155</v>
      </c>
      <c r="F13" s="21">
        <v>-0.8932122009</v>
      </c>
      <c r="G13" s="21">
        <v>-0.9424747743</v>
      </c>
      <c r="H13" s="21">
        <v>-0.888474385</v>
      </c>
      <c r="I13" s="21">
        <v>-0.8717127014</v>
      </c>
      <c r="J13" s="21">
        <v>-0.933759422</v>
      </c>
      <c r="K13" s="22">
        <v>-0.8701827087</v>
      </c>
      <c r="L13" s="22">
        <v>-0.2978028473</v>
      </c>
      <c r="M13" s="22">
        <v>-0.3110146396</v>
      </c>
      <c r="N13" s="22">
        <v>-0.7532505633</v>
      </c>
      <c r="O13" s="22">
        <v>-0.804370311</v>
      </c>
      <c r="P13" s="22">
        <v>-0.8278930983</v>
      </c>
      <c r="Q13" s="22">
        <v>-0.8517079602</v>
      </c>
      <c r="R13" s="22">
        <v>-0.7897111258</v>
      </c>
      <c r="S13" s="22">
        <v>-0.844806253</v>
      </c>
    </row>
    <row r="14">
      <c r="A14" s="14" t="s">
        <v>27</v>
      </c>
      <c r="B14" s="21">
        <v>-0.7787428581</v>
      </c>
      <c r="C14" s="21">
        <v>-0.3524625872</v>
      </c>
      <c r="D14" s="21">
        <v>-0.2741126034</v>
      </c>
      <c r="E14" s="21">
        <v>-0.8606081468</v>
      </c>
      <c r="F14" s="21">
        <v>-0.839923809</v>
      </c>
      <c r="G14" s="21">
        <v>-0.9016955446</v>
      </c>
      <c r="H14" s="21">
        <v>-0.9067599995</v>
      </c>
      <c r="I14" s="21">
        <v>-0.7813615216</v>
      </c>
      <c r="J14" s="21">
        <v>-0.8874865499</v>
      </c>
      <c r="K14" s="22">
        <v>-0.2591399901</v>
      </c>
      <c r="L14" s="22">
        <v>-0.2120675384</v>
      </c>
      <c r="M14" s="22">
        <v>-0.2103983801</v>
      </c>
      <c r="N14" s="22">
        <v>-0.643933198</v>
      </c>
      <c r="O14" s="22">
        <v>-0.8116500015</v>
      </c>
      <c r="P14" s="22">
        <v>-0.8454658952</v>
      </c>
      <c r="Q14" s="22">
        <v>-0.7814876271</v>
      </c>
      <c r="R14" s="22">
        <v>-0.7418172291</v>
      </c>
      <c r="S14" s="22">
        <v>-0.8402606288</v>
      </c>
    </row>
    <row r="15">
      <c r="A15" s="14" t="s">
        <v>28</v>
      </c>
      <c r="B15" s="21">
        <v>-0.7915556136</v>
      </c>
      <c r="C15" s="21">
        <v>-0.2611282913</v>
      </c>
      <c r="D15" s="21">
        <v>-0.2750769934</v>
      </c>
      <c r="E15" s="21">
        <v>-0.8136714836</v>
      </c>
      <c r="F15" s="21">
        <v>-0.8707171103</v>
      </c>
      <c r="G15" s="21">
        <v>-0.9014941164</v>
      </c>
      <c r="H15" s="21">
        <v>-0.9119594125</v>
      </c>
      <c r="I15" s="21">
        <v>-0.830294743</v>
      </c>
      <c r="J15" s="21">
        <v>-0.911076016</v>
      </c>
      <c r="K15" s="22">
        <v>-0.7119567421</v>
      </c>
      <c r="L15" s="22">
        <v>-0.2053404545</v>
      </c>
      <c r="M15" s="22">
        <v>-0.2144198737</v>
      </c>
      <c r="N15" s="22">
        <v>-0.7319959902</v>
      </c>
      <c r="O15" s="22">
        <v>-0.810341595</v>
      </c>
      <c r="P15" s="22">
        <v>-0.8409624274</v>
      </c>
      <c r="Q15" s="22">
        <v>-0.8201639617</v>
      </c>
      <c r="R15" s="22">
        <v>-0.7773148466</v>
      </c>
      <c r="S15" s="22">
        <v>-0.8389594833</v>
      </c>
    </row>
    <row r="16">
      <c r="A16" s="14" t="s">
        <v>29</v>
      </c>
      <c r="B16" s="21">
        <v>-0.9250449783</v>
      </c>
      <c r="C16" s="21">
        <v>-0.2215906994</v>
      </c>
      <c r="D16" s="21">
        <v>-0.2254130106</v>
      </c>
      <c r="E16" s="21">
        <v>-0.8001708554</v>
      </c>
      <c r="F16" s="21">
        <v>-0.8433301801</v>
      </c>
      <c r="G16" s="21">
        <v>-0.8873940048</v>
      </c>
      <c r="H16" s="21">
        <v>-0.8417454959</v>
      </c>
      <c r="I16" s="21">
        <v>-0.729323883</v>
      </c>
      <c r="J16" s="21">
        <v>-0.8826572314</v>
      </c>
      <c r="K16" s="22">
        <v>-0.9229328257</v>
      </c>
      <c r="L16" s="22">
        <v>-0.1994344112</v>
      </c>
      <c r="M16" s="22">
        <v>-0.2033765988</v>
      </c>
      <c r="N16" s="22">
        <v>-0.7903669592</v>
      </c>
      <c r="O16" s="22">
        <v>-0.8407063425</v>
      </c>
      <c r="P16" s="22">
        <v>-0.8720790162</v>
      </c>
      <c r="Q16" s="22">
        <v>-0.8972408594</v>
      </c>
      <c r="R16" s="22">
        <v>-0.6774058274</v>
      </c>
      <c r="S16" s="22">
        <v>-0.8680057485</v>
      </c>
    </row>
    <row r="17">
      <c r="A17" s="14" t="s">
        <v>30</v>
      </c>
      <c r="B17" s="21">
        <v>-0.9581274235</v>
      </c>
      <c r="C17" s="21">
        <v>-0.2609118815</v>
      </c>
      <c r="D17" s="21">
        <v>-0.2958360756</v>
      </c>
      <c r="E17" s="21">
        <v>-0.8410195033</v>
      </c>
      <c r="F17" s="21">
        <v>-0.8845487311</v>
      </c>
      <c r="G17" s="21">
        <v>-0.9276916896</v>
      </c>
      <c r="H17" s="21">
        <v>-0.9216301563</v>
      </c>
      <c r="I17" s="21">
        <v>-0.7901902785</v>
      </c>
      <c r="J17" s="21">
        <v>-0.923069773</v>
      </c>
      <c r="K17" s="22">
        <v>-0.5735725559</v>
      </c>
      <c r="L17" s="22">
        <v>-0.2154621292</v>
      </c>
      <c r="M17" s="22">
        <v>-0.2247260561</v>
      </c>
      <c r="N17" s="22">
        <v>-0.7622157713</v>
      </c>
      <c r="O17" s="22">
        <v>-0.8419725724</v>
      </c>
      <c r="P17" s="22">
        <v>-0.8638599974</v>
      </c>
      <c r="Q17" s="22">
        <v>-0.8337032884</v>
      </c>
      <c r="R17" s="22">
        <v>-0.8578091991</v>
      </c>
      <c r="S17" s="22">
        <v>-0.8869587503</v>
      </c>
    </row>
    <row r="18">
      <c r="A18" s="14" t="s">
        <v>31</v>
      </c>
      <c r="B18" s="21">
        <v>-0.5794312099</v>
      </c>
      <c r="C18" s="21">
        <v>-0.2107419274</v>
      </c>
      <c r="D18" s="21">
        <v>-0.219726704</v>
      </c>
      <c r="E18" s="21">
        <v>-0.7438598782</v>
      </c>
      <c r="F18" s="21">
        <v>-0.8351754247</v>
      </c>
      <c r="G18" s="21">
        <v>-0.862503482</v>
      </c>
      <c r="H18" s="21">
        <v>-0.8420345905</v>
      </c>
      <c r="I18" s="21">
        <v>-0.8038259684</v>
      </c>
      <c r="J18" s="21">
        <v>-0.8642597011</v>
      </c>
      <c r="K18" s="22">
        <v>-0.6511699478</v>
      </c>
      <c r="L18" s="22">
        <v>-0.2482213745</v>
      </c>
      <c r="M18" s="22">
        <v>-0.3131776351</v>
      </c>
      <c r="N18" s="22">
        <v>-0.8128650148</v>
      </c>
      <c r="O18" s="22">
        <v>-0.8562889082</v>
      </c>
      <c r="P18" s="22">
        <v>-0.8968759091</v>
      </c>
      <c r="Q18" s="22">
        <v>-0.9117388112</v>
      </c>
      <c r="R18" s="22">
        <v>-0.7973296808</v>
      </c>
      <c r="S18" s="22">
        <v>-0.8893445995</v>
      </c>
    </row>
    <row r="19">
      <c r="A19" s="14" t="s">
        <v>32</v>
      </c>
      <c r="B19" s="21">
        <v>-0.7172785944</v>
      </c>
      <c r="C19" s="21">
        <v>-0.2796527208</v>
      </c>
      <c r="D19" s="21">
        <v>-0.3145236967</v>
      </c>
      <c r="E19" s="21">
        <v>-0.7331644829</v>
      </c>
      <c r="F19" s="21">
        <v>-0.8421599108</v>
      </c>
      <c r="G19" s="21">
        <v>-0.9309868582</v>
      </c>
      <c r="H19" s="21">
        <v>-0.8998131445</v>
      </c>
      <c r="I19" s="21">
        <v>-0.8748649694</v>
      </c>
      <c r="J19" s="21">
        <v>-0.9003091785</v>
      </c>
      <c r="K19" s="22">
        <v>-0.6470889015</v>
      </c>
      <c r="L19" s="22">
        <v>-0.279793767</v>
      </c>
      <c r="M19" s="22">
        <v>-0.3110938068</v>
      </c>
      <c r="N19" s="22">
        <v>-0.8333636565</v>
      </c>
      <c r="O19" s="22">
        <v>-0.9099228706</v>
      </c>
      <c r="P19" s="22">
        <v>-0.9512450997</v>
      </c>
      <c r="Q19" s="22">
        <v>-0.9246559744</v>
      </c>
      <c r="R19" s="22">
        <v>-0.8280281061</v>
      </c>
      <c r="S19" s="22">
        <v>-0.9505769489</v>
      </c>
    </row>
    <row r="20">
      <c r="A20" s="14" t="s">
        <v>33</v>
      </c>
      <c r="B20" s="21">
        <v>-0.6227839827</v>
      </c>
      <c r="C20" s="21">
        <v>-0.2552773213</v>
      </c>
      <c r="D20" s="21">
        <v>-0.2566818248</v>
      </c>
      <c r="E20" s="21">
        <v>-0.7434165186</v>
      </c>
      <c r="F20" s="21">
        <v>-0.8611702233</v>
      </c>
      <c r="G20" s="21">
        <v>-0.9095623909</v>
      </c>
      <c r="H20" s="21">
        <v>-0.9062798562</v>
      </c>
      <c r="I20" s="21">
        <v>-0.859057319</v>
      </c>
      <c r="J20" s="21">
        <v>-0.8932148344</v>
      </c>
      <c r="K20" s="22">
        <v>-0.538917786</v>
      </c>
      <c r="L20" s="22">
        <v>-0.1945140258</v>
      </c>
      <c r="M20" s="22">
        <v>-0.2223419183</v>
      </c>
      <c r="N20" s="22">
        <v>-0.7204926913</v>
      </c>
      <c r="O20" s="22">
        <v>-0.8177816695</v>
      </c>
      <c r="P20" s="22">
        <v>-0.8888363111</v>
      </c>
      <c r="Q20" s="22">
        <v>-0.87730398</v>
      </c>
      <c r="R20" s="22">
        <v>-0.677742599</v>
      </c>
      <c r="S20" s="22">
        <v>-0.8684177908</v>
      </c>
    </row>
    <row r="21">
      <c r="A21" s="14"/>
      <c r="B21" s="21"/>
      <c r="C21" s="21"/>
      <c r="D21" s="21"/>
      <c r="E21" s="21"/>
      <c r="F21" s="21"/>
      <c r="G21" s="21"/>
      <c r="H21" s="21"/>
      <c r="I21" s="21"/>
      <c r="J21" s="21"/>
      <c r="K21" s="22"/>
      <c r="L21" s="22"/>
      <c r="M21" s="22"/>
      <c r="N21" s="22"/>
      <c r="O21" s="22"/>
      <c r="P21" s="22"/>
      <c r="Q21" s="22"/>
      <c r="R21" s="22"/>
      <c r="S21" s="22"/>
    </row>
    <row r="22">
      <c r="A22" s="14"/>
      <c r="B22" s="21"/>
      <c r="C22" s="21"/>
      <c r="D22" s="21"/>
      <c r="E22" s="21"/>
      <c r="F22" s="21"/>
      <c r="G22" s="21"/>
      <c r="H22" s="21"/>
      <c r="I22" s="21"/>
      <c r="J22" s="21"/>
      <c r="K22" s="22"/>
      <c r="L22" s="22"/>
      <c r="M22" s="22"/>
      <c r="N22" s="22"/>
      <c r="O22" s="22"/>
      <c r="P22" s="22"/>
      <c r="Q22" s="22"/>
      <c r="R22" s="22"/>
      <c r="S22" s="22"/>
    </row>
    <row r="23">
      <c r="A23" s="14"/>
      <c r="B23" s="21"/>
      <c r="C23" s="21"/>
      <c r="D23" s="21"/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</row>
    <row r="24">
      <c r="A24" s="14"/>
      <c r="B24" s="21"/>
      <c r="C24" s="21"/>
      <c r="D24" s="21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</row>
    <row r="25">
      <c r="A25" s="14"/>
      <c r="B25" s="21"/>
      <c r="C25" s="21"/>
      <c r="D25" s="21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</row>
    <row r="26">
      <c r="A26" s="14"/>
      <c r="B26" s="21"/>
      <c r="C26" s="21"/>
      <c r="D26" s="21"/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</row>
    <row r="27">
      <c r="A27" s="14"/>
      <c r="B27" s="21"/>
      <c r="C27" s="21"/>
      <c r="D27" s="21"/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</row>
    <row r="28">
      <c r="A28" s="14"/>
      <c r="B28" s="21"/>
      <c r="C28" s="21"/>
      <c r="D28" s="21"/>
      <c r="E28" s="21"/>
      <c r="F28" s="21"/>
      <c r="G28" s="21"/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2"/>
      <c r="S28" s="22"/>
    </row>
    <row r="29">
      <c r="A29" s="14"/>
      <c r="B29" s="21"/>
      <c r="C29" s="21"/>
      <c r="D29" s="21"/>
      <c r="E29" s="21"/>
      <c r="F29" s="21"/>
      <c r="G29" s="21"/>
      <c r="H29" s="21"/>
      <c r="I29" s="21"/>
      <c r="J29" s="21"/>
      <c r="K29" s="22"/>
      <c r="L29" s="22"/>
      <c r="M29" s="22"/>
      <c r="N29" s="22"/>
      <c r="O29" s="22"/>
      <c r="P29" s="22"/>
      <c r="Q29" s="22"/>
      <c r="R29" s="22"/>
      <c r="S29" s="22"/>
    </row>
    <row r="30">
      <c r="A30" s="14"/>
      <c r="B30" s="21"/>
      <c r="C30" s="21"/>
      <c r="D30" s="21"/>
      <c r="E30" s="21"/>
      <c r="F30" s="21"/>
      <c r="G30" s="21"/>
      <c r="H30" s="21"/>
      <c r="I30" s="21"/>
      <c r="J30" s="21"/>
      <c r="K30" s="22"/>
      <c r="L30" s="22"/>
      <c r="M30" s="22"/>
      <c r="N30" s="22"/>
      <c r="O30" s="22"/>
      <c r="P30" s="22"/>
      <c r="Q30" s="22"/>
      <c r="R30" s="22"/>
      <c r="S30" s="22"/>
    </row>
    <row r="31">
      <c r="A31" s="14"/>
      <c r="B31" s="21"/>
      <c r="C31" s="21"/>
      <c r="D31" s="21"/>
      <c r="E31" s="21"/>
      <c r="F31" s="21"/>
      <c r="G31" s="21"/>
      <c r="H31" s="21"/>
      <c r="I31" s="21"/>
      <c r="J31" s="21"/>
      <c r="K31" s="22"/>
      <c r="L31" s="22"/>
      <c r="M31" s="22"/>
      <c r="N31" s="22"/>
      <c r="O31" s="22"/>
      <c r="P31" s="22"/>
      <c r="Q31" s="22"/>
      <c r="R31" s="22"/>
      <c r="S31" s="22"/>
    </row>
    <row r="32">
      <c r="A32" s="14"/>
      <c r="B32" s="21"/>
      <c r="C32" s="21"/>
      <c r="D32" s="21"/>
      <c r="E32" s="21"/>
      <c r="F32" s="21"/>
      <c r="G32" s="21"/>
      <c r="H32" s="21"/>
      <c r="I32" s="21"/>
      <c r="J32" s="21"/>
      <c r="K32" s="22"/>
      <c r="L32" s="22"/>
      <c r="M32" s="22"/>
      <c r="N32" s="22"/>
      <c r="O32" s="22"/>
      <c r="P32" s="22"/>
      <c r="Q32" s="22"/>
      <c r="R32" s="22"/>
      <c r="S32" s="22"/>
    </row>
    <row r="33">
      <c r="A33" s="14"/>
      <c r="B33" s="21"/>
      <c r="C33" s="21"/>
      <c r="D33" s="21"/>
      <c r="E33" s="21"/>
      <c r="F33" s="21"/>
      <c r="G33" s="21"/>
      <c r="H33" s="21"/>
      <c r="I33" s="21"/>
      <c r="J33" s="21"/>
      <c r="K33" s="22"/>
      <c r="L33" s="22"/>
      <c r="M33" s="22"/>
      <c r="N33" s="22"/>
      <c r="O33" s="22"/>
      <c r="P33" s="22"/>
      <c r="Q33" s="22"/>
      <c r="R33" s="22"/>
      <c r="S33" s="22"/>
    </row>
    <row r="34">
      <c r="A34" s="14"/>
      <c r="B34" s="21"/>
      <c r="C34" s="21"/>
      <c r="D34" s="21"/>
      <c r="E34" s="21"/>
      <c r="F34" s="21"/>
      <c r="G34" s="21"/>
      <c r="H34" s="21"/>
      <c r="I34" s="21"/>
      <c r="J34" s="21"/>
      <c r="K34" s="22"/>
      <c r="L34" s="22"/>
      <c r="M34" s="22"/>
      <c r="N34" s="22"/>
      <c r="O34" s="22"/>
      <c r="P34" s="22"/>
      <c r="Q34" s="22"/>
      <c r="R34" s="22"/>
      <c r="S34" s="22"/>
    </row>
    <row r="35">
      <c r="A35" s="14"/>
      <c r="B35" s="21"/>
      <c r="C35" s="21"/>
      <c r="D35" s="21"/>
      <c r="E35" s="21"/>
      <c r="F35" s="21"/>
      <c r="G35" s="21"/>
      <c r="H35" s="21"/>
      <c r="I35" s="21"/>
      <c r="J35" s="21"/>
      <c r="K35" s="22"/>
      <c r="L35" s="22"/>
      <c r="M35" s="22"/>
      <c r="N35" s="22"/>
      <c r="O35" s="22"/>
      <c r="P35" s="22"/>
      <c r="Q35" s="22"/>
      <c r="R35" s="22"/>
      <c r="S35" s="22"/>
    </row>
    <row r="36">
      <c r="A36" s="14"/>
      <c r="B36" s="21"/>
      <c r="C36" s="21"/>
      <c r="D36" s="21"/>
      <c r="E36" s="21"/>
      <c r="F36" s="21"/>
      <c r="G36" s="21"/>
      <c r="H36" s="21"/>
      <c r="I36" s="21"/>
      <c r="J36" s="21"/>
      <c r="K36" s="22"/>
      <c r="L36" s="22"/>
      <c r="M36" s="22"/>
      <c r="N36" s="22"/>
      <c r="O36" s="22"/>
      <c r="P36" s="22"/>
      <c r="Q36" s="22"/>
      <c r="R36" s="22"/>
      <c r="S36" s="22"/>
    </row>
    <row r="37">
      <c r="A37" s="14"/>
      <c r="B37" s="21"/>
      <c r="C37" s="21"/>
      <c r="D37" s="21"/>
      <c r="E37" s="21"/>
      <c r="F37" s="21"/>
      <c r="G37" s="21"/>
      <c r="H37" s="21"/>
      <c r="I37" s="21"/>
      <c r="J37" s="21"/>
      <c r="K37" s="22"/>
      <c r="L37" s="22"/>
      <c r="M37" s="22"/>
      <c r="N37" s="22"/>
      <c r="O37" s="22"/>
      <c r="P37" s="22"/>
      <c r="Q37" s="22"/>
      <c r="R37" s="22"/>
      <c r="S37" s="22"/>
    </row>
    <row r="38">
      <c r="A38" s="14"/>
      <c r="B38" s="21"/>
      <c r="C38" s="21"/>
      <c r="D38" s="21"/>
      <c r="E38" s="21"/>
      <c r="F38" s="21"/>
      <c r="G38" s="21"/>
      <c r="H38" s="21"/>
      <c r="I38" s="21"/>
      <c r="J38" s="21"/>
      <c r="K38" s="22"/>
      <c r="L38" s="22"/>
      <c r="M38" s="22"/>
      <c r="N38" s="22"/>
      <c r="O38" s="22"/>
      <c r="P38" s="22"/>
      <c r="Q38" s="22"/>
      <c r="R38" s="22"/>
      <c r="S38" s="22"/>
    </row>
    <row r="39">
      <c r="A39" s="14"/>
      <c r="B39" s="21"/>
      <c r="C39" s="21"/>
      <c r="D39" s="21"/>
      <c r="E39" s="21"/>
      <c r="F39" s="21"/>
      <c r="G39" s="21"/>
      <c r="H39" s="21"/>
      <c r="I39" s="21"/>
      <c r="J39" s="21"/>
      <c r="K39" s="22"/>
      <c r="L39" s="22"/>
      <c r="M39" s="22"/>
      <c r="N39" s="22"/>
      <c r="O39" s="22"/>
      <c r="P39" s="22"/>
      <c r="Q39" s="22"/>
      <c r="R39" s="22"/>
      <c r="S39" s="22"/>
    </row>
    <row r="40">
      <c r="A40" s="14"/>
      <c r="B40" s="21"/>
      <c r="C40" s="21"/>
      <c r="D40" s="21"/>
      <c r="E40" s="21"/>
      <c r="F40" s="21"/>
      <c r="G40" s="21"/>
      <c r="H40" s="21"/>
      <c r="I40" s="21"/>
      <c r="J40" s="21"/>
      <c r="K40" s="22"/>
      <c r="L40" s="22"/>
      <c r="M40" s="22"/>
      <c r="N40" s="22"/>
      <c r="O40" s="22"/>
      <c r="P40" s="22"/>
      <c r="Q40" s="22"/>
      <c r="R40" s="22"/>
      <c r="S40" s="22"/>
    </row>
    <row r="41">
      <c r="A41" s="14"/>
      <c r="B41" s="21"/>
      <c r="C41" s="21"/>
      <c r="D41" s="21"/>
      <c r="E41" s="21"/>
      <c r="F41" s="21"/>
      <c r="G41" s="21"/>
      <c r="H41" s="21"/>
      <c r="I41" s="21"/>
      <c r="J41" s="21"/>
      <c r="K41" s="22"/>
      <c r="L41" s="22"/>
      <c r="M41" s="22"/>
      <c r="N41" s="22"/>
      <c r="O41" s="22"/>
      <c r="P41" s="22"/>
      <c r="Q41" s="22"/>
      <c r="R41" s="22"/>
      <c r="S41" s="22"/>
    </row>
    <row r="42">
      <c r="A42" s="14"/>
      <c r="B42" s="21"/>
      <c r="C42" s="21"/>
      <c r="D42" s="21"/>
      <c r="E42" s="21"/>
      <c r="F42" s="21"/>
      <c r="G42" s="21"/>
      <c r="H42" s="21"/>
      <c r="I42" s="21"/>
      <c r="J42" s="21"/>
      <c r="K42" s="22"/>
      <c r="L42" s="22"/>
      <c r="M42" s="22"/>
      <c r="N42" s="22"/>
      <c r="O42" s="22"/>
      <c r="P42" s="22"/>
      <c r="Q42" s="22"/>
      <c r="R42" s="22"/>
      <c r="S42" s="22"/>
    </row>
    <row r="43">
      <c r="A43" s="14"/>
      <c r="B43" s="21"/>
      <c r="C43" s="21"/>
      <c r="D43" s="21"/>
      <c r="E43" s="21"/>
      <c r="F43" s="21"/>
      <c r="G43" s="21"/>
      <c r="H43" s="21"/>
      <c r="I43" s="21"/>
      <c r="J43" s="21"/>
      <c r="K43" s="22"/>
      <c r="L43" s="22"/>
      <c r="M43" s="22"/>
      <c r="N43" s="22"/>
      <c r="O43" s="22"/>
      <c r="P43" s="22"/>
      <c r="Q43" s="22"/>
      <c r="R43" s="22"/>
      <c r="S43" s="22"/>
    </row>
    <row r="44">
      <c r="A44" s="14"/>
      <c r="B44" s="21"/>
      <c r="C44" s="21"/>
      <c r="D44" s="21"/>
      <c r="E44" s="21"/>
      <c r="F44" s="21"/>
      <c r="G44" s="21"/>
      <c r="H44" s="21"/>
      <c r="I44" s="21"/>
      <c r="J44" s="21"/>
      <c r="K44" s="22"/>
      <c r="L44" s="22"/>
      <c r="M44" s="22"/>
      <c r="N44" s="22"/>
      <c r="O44" s="22"/>
      <c r="P44" s="22"/>
      <c r="Q44" s="22"/>
      <c r="R44" s="22"/>
      <c r="S44" s="22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mergeCells count="3">
    <mergeCell ref="A1:A2"/>
    <mergeCell ref="B1:J1"/>
    <mergeCell ref="L1:S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19" t="s">
        <v>1</v>
      </c>
      <c r="K1" s="20"/>
      <c r="L1" s="20" t="s">
        <v>2</v>
      </c>
      <c r="T1" s="4"/>
    </row>
    <row r="2">
      <c r="B2" s="10" t="s">
        <v>60</v>
      </c>
      <c r="C2" s="10" t="s">
        <v>8</v>
      </c>
      <c r="D2" s="10" t="s">
        <v>9</v>
      </c>
      <c r="E2" s="10" t="s">
        <v>10</v>
      </c>
      <c r="F2" s="10" t="s">
        <v>61</v>
      </c>
      <c r="G2" s="10" t="s">
        <v>13</v>
      </c>
      <c r="H2" s="10" t="s">
        <v>11</v>
      </c>
      <c r="I2" s="10" t="s">
        <v>15</v>
      </c>
      <c r="J2" s="10" t="s">
        <v>62</v>
      </c>
      <c r="K2" s="11" t="s">
        <v>60</v>
      </c>
      <c r="L2" s="11" t="s">
        <v>8</v>
      </c>
      <c r="M2" s="11" t="s">
        <v>9</v>
      </c>
      <c r="N2" s="11" t="s">
        <v>10</v>
      </c>
      <c r="O2" s="11" t="s">
        <v>61</v>
      </c>
      <c r="P2" s="11" t="s">
        <v>13</v>
      </c>
      <c r="Q2" s="11" t="s">
        <v>11</v>
      </c>
      <c r="R2" s="11" t="s">
        <v>15</v>
      </c>
      <c r="S2" s="11" t="s">
        <v>62</v>
      </c>
      <c r="T2" s="12"/>
    </row>
    <row r="3">
      <c r="A3" s="14" t="s">
        <v>16</v>
      </c>
      <c r="B3" s="21">
        <v>-0.8269841605</v>
      </c>
      <c r="C3" s="21">
        <v>-0.2282495553</v>
      </c>
      <c r="D3" s="21">
        <v>-0.2282495553</v>
      </c>
      <c r="E3" s="21">
        <v>-0.8020127765</v>
      </c>
      <c r="F3" s="21">
        <v>-0.789571975</v>
      </c>
      <c r="G3" s="21">
        <v>-0.8269841605</v>
      </c>
      <c r="H3" s="21">
        <v>-0.8269841605</v>
      </c>
      <c r="I3" s="21">
        <v>-0.8250293731</v>
      </c>
      <c r="J3" s="21">
        <v>-0.8269841605</v>
      </c>
      <c r="K3" s="22">
        <v>-0.6914952736</v>
      </c>
      <c r="L3" s="22">
        <v>-0.1075313361</v>
      </c>
      <c r="M3" s="22">
        <v>-0.09799914365</v>
      </c>
      <c r="N3" s="22">
        <v>-0.6753783411</v>
      </c>
      <c r="O3" s="22">
        <v>-0.6779130973</v>
      </c>
      <c r="P3" s="22">
        <v>-0.6896647138</v>
      </c>
      <c r="Q3" s="22">
        <v>-0.6896647138</v>
      </c>
      <c r="R3" s="22">
        <v>-0.6896647138</v>
      </c>
      <c r="S3" s="22">
        <v>-0.6896647138</v>
      </c>
    </row>
    <row r="4">
      <c r="A4" s="14" t="s">
        <v>17</v>
      </c>
      <c r="B4" s="21">
        <v>-0.7517424405</v>
      </c>
      <c r="C4" s="21">
        <v>-0.120716936</v>
      </c>
      <c r="D4" s="21">
        <v>-0.07963852994</v>
      </c>
      <c r="E4" s="21">
        <v>-0.7278761223</v>
      </c>
      <c r="F4" s="21">
        <v>-0.7175371816</v>
      </c>
      <c r="G4" s="21">
        <v>-0.7396110126</v>
      </c>
      <c r="H4" s="21">
        <v>-0.7396110126</v>
      </c>
      <c r="I4" s="21">
        <v>-0.7388087443</v>
      </c>
      <c r="J4" s="21">
        <v>-0.7396110126</v>
      </c>
      <c r="K4" s="22">
        <v>-0.80370399</v>
      </c>
      <c r="L4" s="22">
        <v>-0.1544765255</v>
      </c>
      <c r="M4" s="22">
        <v>-0.1544765255</v>
      </c>
      <c r="N4" s="22">
        <v>-0.7690769258</v>
      </c>
      <c r="O4" s="22">
        <v>-0.792909321</v>
      </c>
      <c r="P4" s="22">
        <v>-0.8031660855</v>
      </c>
      <c r="Q4" s="22">
        <v>-0.80370399</v>
      </c>
      <c r="R4" s="22">
        <v>-0.80370399</v>
      </c>
      <c r="S4" s="22">
        <v>-0.80370399</v>
      </c>
    </row>
    <row r="5">
      <c r="A5" s="14" t="s">
        <v>18</v>
      </c>
      <c r="B5" s="21">
        <v>-0.896729871</v>
      </c>
      <c r="C5" s="21">
        <v>-0.2986019323</v>
      </c>
      <c r="D5" s="21">
        <v>-0.1493941214</v>
      </c>
      <c r="E5" s="21">
        <v>-0.8833145806</v>
      </c>
      <c r="F5" s="21">
        <v>-0.8737904336</v>
      </c>
      <c r="G5" s="21">
        <v>-0.8905506626</v>
      </c>
      <c r="H5" s="21">
        <v>-0.8905506626</v>
      </c>
      <c r="I5" s="21">
        <v>-0.8904340573</v>
      </c>
      <c r="J5" s="21">
        <v>-0.8905506626</v>
      </c>
      <c r="K5" s="22">
        <v>-0.7901391529</v>
      </c>
      <c r="L5" s="22">
        <v>-0.1210062463</v>
      </c>
      <c r="M5" s="22">
        <v>-0.03455329018</v>
      </c>
      <c r="N5" s="22">
        <v>-0.7249902218</v>
      </c>
      <c r="O5" s="22">
        <v>-0.7733488784</v>
      </c>
      <c r="P5" s="22">
        <v>-0.7901391529</v>
      </c>
      <c r="Q5" s="22">
        <v>-0.7901391529</v>
      </c>
      <c r="R5" s="22">
        <v>-0.7901391529</v>
      </c>
      <c r="S5" s="22">
        <v>-0.7901391529</v>
      </c>
    </row>
    <row r="6">
      <c r="A6" s="14" t="s">
        <v>19</v>
      </c>
      <c r="B6" s="21">
        <v>-0.8121231941</v>
      </c>
      <c r="C6" s="21">
        <v>-0.1109664646</v>
      </c>
      <c r="D6" s="21">
        <v>-0.1109664646</v>
      </c>
      <c r="E6" s="21">
        <v>-0.8066437421</v>
      </c>
      <c r="F6" s="21">
        <v>-0.8062031868</v>
      </c>
      <c r="G6" s="21">
        <v>-0.8121231941</v>
      </c>
      <c r="H6" s="21">
        <v>-0.8121231941</v>
      </c>
      <c r="I6" s="21">
        <v>-0.8121231941</v>
      </c>
      <c r="J6" s="21">
        <v>-0.8121231941</v>
      </c>
      <c r="K6" s="22">
        <v>-0.7702902218</v>
      </c>
      <c r="L6" s="22">
        <v>-0.1313265304</v>
      </c>
      <c r="M6" s="22">
        <v>-0.1313265304</v>
      </c>
      <c r="N6" s="22">
        <v>-0.7590700217</v>
      </c>
      <c r="O6" s="22">
        <v>-0.7702902218</v>
      </c>
      <c r="P6" s="22">
        <v>-0.7661417666</v>
      </c>
      <c r="Q6" s="22">
        <v>-0.7661417666</v>
      </c>
      <c r="R6" s="22">
        <v>-0.7659811196</v>
      </c>
      <c r="S6" s="22">
        <v>-0.7702902218</v>
      </c>
    </row>
    <row r="7">
      <c r="A7" s="14" t="s">
        <v>20</v>
      </c>
      <c r="B7" s="21">
        <v>-0.8040658599</v>
      </c>
      <c r="C7" s="21">
        <v>-0.20513296</v>
      </c>
      <c r="D7" s="21">
        <v>-0.2046521839</v>
      </c>
      <c r="E7" s="21">
        <v>-0.735028525</v>
      </c>
      <c r="F7" s="21">
        <v>-0.7722823591</v>
      </c>
      <c r="G7" s="21">
        <v>-0.8028022418</v>
      </c>
      <c r="H7" s="21">
        <v>-0.8028022418</v>
      </c>
      <c r="I7" s="21">
        <v>-0.7934705135</v>
      </c>
      <c r="J7" s="21">
        <v>-0.8028022418</v>
      </c>
      <c r="K7" s="22">
        <v>-0.7376965672</v>
      </c>
      <c r="L7" s="22">
        <v>-0.05474151386</v>
      </c>
      <c r="M7" s="22">
        <v>-0.05474151386</v>
      </c>
      <c r="N7" s="22">
        <v>-0.7077966077</v>
      </c>
      <c r="O7" s="22">
        <v>-0.7204372207</v>
      </c>
      <c r="P7" s="22">
        <v>-0.7327840411</v>
      </c>
      <c r="Q7" s="22">
        <v>-0.7327840411</v>
      </c>
      <c r="R7" s="22">
        <v>-0.7327840411</v>
      </c>
      <c r="S7" s="22">
        <v>-0.7327840411</v>
      </c>
    </row>
    <row r="8">
      <c r="A8" s="14" t="s">
        <v>21</v>
      </c>
      <c r="B8" s="21">
        <v>-0.8256190571</v>
      </c>
      <c r="C8" s="21">
        <v>-0.2196900518</v>
      </c>
      <c r="D8" s="21">
        <v>-0.2196900518</v>
      </c>
      <c r="E8" s="21">
        <v>-0.7675592418</v>
      </c>
      <c r="F8" s="21">
        <v>-0.8222616726</v>
      </c>
      <c r="G8" s="21">
        <v>-0.8222616726</v>
      </c>
      <c r="H8" s="21">
        <v>-0.8244788111</v>
      </c>
      <c r="I8" s="21">
        <v>-0.8124954574</v>
      </c>
      <c r="J8" s="21">
        <v>-0.8244788111</v>
      </c>
      <c r="K8" s="22">
        <v>-0.8014035424</v>
      </c>
      <c r="L8" s="22">
        <v>-0.1589585083</v>
      </c>
      <c r="M8" s="22">
        <v>-0.1311498355</v>
      </c>
      <c r="N8" s="22">
        <v>-0.773006295</v>
      </c>
      <c r="O8" s="22">
        <v>-0.7691875559</v>
      </c>
      <c r="P8" s="22">
        <v>-0.7976365188</v>
      </c>
      <c r="Q8" s="22">
        <v>-0.7976365188</v>
      </c>
      <c r="R8" s="22">
        <v>-0.7976365188</v>
      </c>
      <c r="S8" s="22">
        <v>-0.7976365188</v>
      </c>
    </row>
    <row r="9">
      <c r="A9" s="14" t="s">
        <v>22</v>
      </c>
      <c r="B9" s="21">
        <v>-0.808372529</v>
      </c>
      <c r="C9" s="21">
        <v>-0.1303014191</v>
      </c>
      <c r="D9" s="21">
        <v>-0.1221808784</v>
      </c>
      <c r="E9" s="21">
        <v>-0.7295965565</v>
      </c>
      <c r="F9" s="21">
        <v>-0.7558917054</v>
      </c>
      <c r="G9" s="21">
        <v>-0.7669108694</v>
      </c>
      <c r="H9" s="21">
        <v>-0.7415336933</v>
      </c>
      <c r="I9" s="21">
        <v>-0.6868259208</v>
      </c>
      <c r="J9" s="21">
        <v>-0.7819246335</v>
      </c>
      <c r="K9" s="22">
        <v>-0.8268202019</v>
      </c>
      <c r="L9" s="22">
        <v>-0.1558578253</v>
      </c>
      <c r="M9" s="22">
        <v>-0.1558578253</v>
      </c>
      <c r="N9" s="22">
        <v>-0.7588523471</v>
      </c>
      <c r="O9" s="22">
        <v>-0.7941689963</v>
      </c>
      <c r="P9" s="22">
        <v>-0.8145747429</v>
      </c>
      <c r="Q9" s="22">
        <v>-0.7901612593</v>
      </c>
      <c r="R9" s="22">
        <v>-0.7861762633</v>
      </c>
      <c r="S9" s="22">
        <v>-0.8090487485</v>
      </c>
    </row>
    <row r="10">
      <c r="A10" s="14" t="s">
        <v>23</v>
      </c>
      <c r="B10" s="21">
        <v>-0.9047825085</v>
      </c>
      <c r="C10" s="21">
        <v>-0.2098676157</v>
      </c>
      <c r="D10" s="21">
        <v>-0.223925393</v>
      </c>
      <c r="E10" s="21">
        <v>-0.7761897059</v>
      </c>
      <c r="F10" s="21">
        <v>-0.831082421</v>
      </c>
      <c r="G10" s="21">
        <v>-0.8648044054</v>
      </c>
      <c r="H10" s="21">
        <v>-0.8117105955</v>
      </c>
      <c r="I10" s="21">
        <v>-0.8112039328</v>
      </c>
      <c r="J10" s="21">
        <v>-0.8733153098</v>
      </c>
      <c r="K10" s="22">
        <v>-0.7887262751</v>
      </c>
      <c r="L10" s="22">
        <v>-0.1281293375</v>
      </c>
      <c r="M10" s="22">
        <v>-0.1281293375</v>
      </c>
      <c r="N10" s="22">
        <v>-0.6756986437</v>
      </c>
      <c r="O10" s="22">
        <v>-0.7377998395</v>
      </c>
      <c r="P10" s="22">
        <v>-0.7559015727</v>
      </c>
      <c r="Q10" s="22">
        <v>-0.6972178187</v>
      </c>
      <c r="R10" s="22">
        <v>-0.6793724952</v>
      </c>
      <c r="S10" s="22">
        <v>-0.7612558484</v>
      </c>
    </row>
    <row r="11">
      <c r="A11" s="14" t="s">
        <v>24</v>
      </c>
      <c r="B11" s="21">
        <v>-0.8402894297</v>
      </c>
      <c r="C11" s="21">
        <v>-0.181866751</v>
      </c>
      <c r="D11" s="21">
        <v>-0.181866751</v>
      </c>
      <c r="E11" s="21">
        <v>-0.7178420515</v>
      </c>
      <c r="F11" s="21">
        <v>-0.7735356557</v>
      </c>
      <c r="G11" s="21">
        <v>-0.7998843608</v>
      </c>
      <c r="H11" s="21">
        <v>-0.7616349476</v>
      </c>
      <c r="I11" s="21">
        <v>-0.7513500561</v>
      </c>
      <c r="J11" s="21">
        <v>-0.8059510184</v>
      </c>
      <c r="K11" s="22">
        <v>-0.8474714893</v>
      </c>
      <c r="L11" s="22">
        <v>-0.08298792746</v>
      </c>
      <c r="M11" s="22">
        <v>-0.08298792746</v>
      </c>
      <c r="N11" s="22">
        <v>-0.7209588665</v>
      </c>
      <c r="O11" s="22">
        <v>-0.8017649946</v>
      </c>
      <c r="P11" s="22">
        <v>-0.8176634102</v>
      </c>
      <c r="Q11" s="22">
        <v>-0.7704531248</v>
      </c>
      <c r="R11" s="22">
        <v>-0.6999346851</v>
      </c>
      <c r="S11" s="22">
        <v>-0.8176285514</v>
      </c>
    </row>
    <row r="12">
      <c r="A12" s="14" t="s">
        <v>25</v>
      </c>
      <c r="B12" s="21">
        <v>-0.889369982</v>
      </c>
      <c r="C12" s="21">
        <v>-0.1790085624</v>
      </c>
      <c r="D12" s="21">
        <v>-0.1725698687</v>
      </c>
      <c r="E12" s="21">
        <v>-0.8572542926</v>
      </c>
      <c r="F12" s="21">
        <v>-0.8498233653</v>
      </c>
      <c r="G12" s="21">
        <v>-0.8730634037</v>
      </c>
      <c r="H12" s="21">
        <v>-0.8806794144</v>
      </c>
      <c r="I12" s="21">
        <v>-0.7236149657</v>
      </c>
      <c r="J12" s="21">
        <v>-0.8663018477</v>
      </c>
      <c r="K12" s="22">
        <v>-0.7779595343</v>
      </c>
      <c r="L12" s="22">
        <v>-0.1040424193</v>
      </c>
      <c r="M12" s="22">
        <v>-0.1024838724</v>
      </c>
      <c r="N12" s="22">
        <v>-0.6925207351</v>
      </c>
      <c r="O12" s="22">
        <v>-0.7382746695</v>
      </c>
      <c r="P12" s="22">
        <v>-0.7611228642</v>
      </c>
      <c r="Q12" s="22">
        <v>-0.7706714539</v>
      </c>
      <c r="R12" s="22">
        <v>-0.6536749622</v>
      </c>
      <c r="S12" s="22">
        <v>-0.7550852178</v>
      </c>
    </row>
    <row r="13">
      <c r="A13" s="14" t="s">
        <v>26</v>
      </c>
      <c r="B13" s="21">
        <v>-0.8961688635</v>
      </c>
      <c r="C13" s="21">
        <v>-0.2434407518</v>
      </c>
      <c r="D13" s="21">
        <v>-0.2251609313</v>
      </c>
      <c r="E13" s="21">
        <v>-0.871463606</v>
      </c>
      <c r="F13" s="21">
        <v>-0.8800273159</v>
      </c>
      <c r="G13" s="21">
        <v>-0.9037926151</v>
      </c>
      <c r="H13" s="21">
        <v>-0.8913838897</v>
      </c>
      <c r="I13" s="21">
        <v>-0.835750047</v>
      </c>
      <c r="J13" s="21">
        <v>-0.9136630329</v>
      </c>
      <c r="K13" s="22">
        <v>-0.7196732524</v>
      </c>
      <c r="L13" s="22">
        <v>-0.1377529978</v>
      </c>
      <c r="M13" s="22">
        <v>-0.1533731844</v>
      </c>
      <c r="N13" s="22">
        <v>-0.7506508462</v>
      </c>
      <c r="O13" s="22">
        <v>-0.810840941</v>
      </c>
      <c r="P13" s="22">
        <v>-0.8443153593</v>
      </c>
      <c r="Q13" s="22">
        <v>-0.7702519908</v>
      </c>
      <c r="R13" s="22">
        <v>-0.7911484191</v>
      </c>
      <c r="S13" s="22">
        <v>-0.828924809</v>
      </c>
    </row>
    <row r="14">
      <c r="A14" s="14" t="s">
        <v>27</v>
      </c>
      <c r="B14" s="21">
        <v>-0.5943646861</v>
      </c>
      <c r="C14" s="21">
        <v>-0.2560350757</v>
      </c>
      <c r="D14" s="21">
        <v>-0.213645625</v>
      </c>
      <c r="E14" s="21">
        <v>-0.86398163</v>
      </c>
      <c r="F14" s="21">
        <v>-0.9049275818</v>
      </c>
      <c r="G14" s="21">
        <v>-0.9446910096</v>
      </c>
      <c r="H14" s="21">
        <v>-0.8665905559</v>
      </c>
      <c r="I14" s="21">
        <v>-0.8694064056</v>
      </c>
      <c r="J14" s="21">
        <v>-0.9303105122</v>
      </c>
      <c r="K14" s="22">
        <v>-0.2099051475</v>
      </c>
      <c r="L14" s="22">
        <v>-0.06224977677</v>
      </c>
      <c r="M14" s="22">
        <v>-0.06224977677</v>
      </c>
      <c r="N14" s="22">
        <v>-0.6904154743</v>
      </c>
      <c r="O14" s="22">
        <v>-0.8401756393</v>
      </c>
      <c r="P14" s="22">
        <v>-0.8785212851</v>
      </c>
      <c r="Q14" s="22">
        <v>-0.7684000578</v>
      </c>
      <c r="R14" s="22">
        <v>-0.8024844934</v>
      </c>
      <c r="S14" s="22">
        <v>-0.8692988932</v>
      </c>
    </row>
    <row r="15">
      <c r="A15" s="14" t="s">
        <v>28</v>
      </c>
      <c r="B15" s="21">
        <v>-0.6046017442</v>
      </c>
      <c r="C15" s="21">
        <v>-0.1766440161</v>
      </c>
      <c r="D15" s="21">
        <v>-0.1766440161</v>
      </c>
      <c r="E15" s="21">
        <v>-0.7897141337</v>
      </c>
      <c r="F15" s="21">
        <v>-0.776646162</v>
      </c>
      <c r="G15" s="21">
        <v>-0.7981566449</v>
      </c>
      <c r="H15" s="21">
        <v>-0.8531978282</v>
      </c>
      <c r="I15" s="21">
        <v>-0.6463310978</v>
      </c>
      <c r="J15" s="21">
        <v>-0.8162562424</v>
      </c>
      <c r="K15" s="22">
        <v>-0.6750123648</v>
      </c>
      <c r="L15" s="22">
        <v>-0.1748223278</v>
      </c>
      <c r="M15" s="22">
        <v>-0.22915288</v>
      </c>
      <c r="N15" s="22">
        <v>-0.8284685813</v>
      </c>
      <c r="O15" s="22">
        <v>-0.8210561444</v>
      </c>
      <c r="P15" s="22">
        <v>-0.8670857883</v>
      </c>
      <c r="Q15" s="22">
        <v>-0.8650012958</v>
      </c>
      <c r="R15" s="22">
        <v>-0.7909052066</v>
      </c>
      <c r="S15" s="22">
        <v>-0.8686749299</v>
      </c>
    </row>
    <row r="16">
      <c r="A16" s="14" t="s">
        <v>29</v>
      </c>
      <c r="B16" s="21">
        <v>-0.7474015059</v>
      </c>
      <c r="C16" s="21">
        <v>-0.2023488899</v>
      </c>
      <c r="D16" s="21">
        <v>-0.2388716326</v>
      </c>
      <c r="E16" s="21">
        <v>-0.8522220372</v>
      </c>
      <c r="F16" s="21">
        <v>-0.8298392214</v>
      </c>
      <c r="G16" s="21">
        <v>-0.8713214445</v>
      </c>
      <c r="H16" s="21">
        <v>-0.8829809112</v>
      </c>
      <c r="I16" s="21">
        <v>-0.8590145703</v>
      </c>
      <c r="J16" s="21">
        <v>-0.8541834385</v>
      </c>
      <c r="K16" s="22">
        <v>-0.7945894828</v>
      </c>
      <c r="L16" s="22">
        <v>-0.1490896273</v>
      </c>
      <c r="M16" s="22">
        <v>-0.1268065426</v>
      </c>
      <c r="N16" s="22">
        <v>-0.8023057505</v>
      </c>
      <c r="O16" s="22">
        <v>-0.8059884707</v>
      </c>
      <c r="P16" s="22">
        <v>-0.8188568746</v>
      </c>
      <c r="Q16" s="22">
        <v>-0.8058171132</v>
      </c>
      <c r="R16" s="22">
        <v>-0.7996349694</v>
      </c>
      <c r="S16" s="22">
        <v>-0.8297075405</v>
      </c>
    </row>
    <row r="17">
      <c r="A17" s="14" t="s">
        <v>30</v>
      </c>
      <c r="B17" s="21">
        <v>-0.8290887999</v>
      </c>
      <c r="C17" s="21">
        <v>-0.2557286496</v>
      </c>
      <c r="D17" s="21">
        <v>-0.2557286496</v>
      </c>
      <c r="E17" s="21">
        <v>-0.8837155378</v>
      </c>
      <c r="F17" s="21">
        <v>-0.8275991307</v>
      </c>
      <c r="G17" s="21">
        <v>-0.8581885314</v>
      </c>
      <c r="H17" s="21">
        <v>-0.9241573269</v>
      </c>
      <c r="I17" s="21">
        <v>-0.8482751735</v>
      </c>
      <c r="J17" s="21">
        <v>-0.8813213759</v>
      </c>
      <c r="K17" s="22">
        <v>-0.4978864033</v>
      </c>
      <c r="L17" s="22">
        <v>-0.2529208329</v>
      </c>
      <c r="M17" s="22">
        <v>-0.2928152598</v>
      </c>
      <c r="N17" s="22">
        <v>-0.8285162736</v>
      </c>
      <c r="O17" s="22">
        <v>-0.77933895</v>
      </c>
      <c r="P17" s="22">
        <v>-0.8255957915</v>
      </c>
      <c r="Q17" s="22">
        <v>-0.8570873411</v>
      </c>
      <c r="R17" s="22">
        <v>-0.7150011255</v>
      </c>
      <c r="S17" s="22">
        <v>-0.807370868</v>
      </c>
    </row>
    <row r="18">
      <c r="A18" s="14" t="s">
        <v>31</v>
      </c>
      <c r="B18" s="21">
        <v>-0.5968365529</v>
      </c>
      <c r="C18" s="21">
        <v>-0.1538705403</v>
      </c>
      <c r="D18" s="21">
        <v>-0.1802597326</v>
      </c>
      <c r="E18" s="21">
        <v>-0.7727137845</v>
      </c>
      <c r="F18" s="21">
        <v>-0.8140082833</v>
      </c>
      <c r="G18" s="21">
        <v>-0.8494532529</v>
      </c>
      <c r="H18" s="21">
        <v>-0.8418944889</v>
      </c>
      <c r="I18" s="21">
        <v>-0.7804502848</v>
      </c>
      <c r="J18" s="21">
        <v>-0.8532577186</v>
      </c>
      <c r="K18" s="22">
        <v>-0.4975359738</v>
      </c>
      <c r="L18" s="22">
        <v>-0.1538309793</v>
      </c>
      <c r="M18" s="22">
        <v>-0.1538309793</v>
      </c>
      <c r="N18" s="22">
        <v>-0.7496502545</v>
      </c>
      <c r="O18" s="22">
        <v>-0.812887799</v>
      </c>
      <c r="P18" s="22">
        <v>-0.8380428013</v>
      </c>
      <c r="Q18" s="22">
        <v>-0.8314434213</v>
      </c>
      <c r="R18" s="22">
        <v>-0.734375801</v>
      </c>
      <c r="S18" s="22">
        <v>-0.8505945804</v>
      </c>
    </row>
    <row r="19">
      <c r="A19" s="14" t="s">
        <v>32</v>
      </c>
      <c r="B19" s="21">
        <v>-0.4031113712</v>
      </c>
      <c r="C19" s="21">
        <v>-0.1504638459</v>
      </c>
      <c r="D19" s="21">
        <v>-0.1545906084</v>
      </c>
      <c r="E19" s="21">
        <v>-0.7704754788</v>
      </c>
      <c r="F19" s="21">
        <v>-0.8078226939</v>
      </c>
      <c r="G19" s="21">
        <v>-0.8331258518</v>
      </c>
      <c r="H19" s="21">
        <v>-0.8130151006</v>
      </c>
      <c r="I19" s="21">
        <v>-0.7619338588</v>
      </c>
      <c r="J19" s="21">
        <v>-0.8277169938</v>
      </c>
      <c r="K19" s="22">
        <v>-0.6471811726</v>
      </c>
      <c r="L19" s="22">
        <v>-0.1470194732</v>
      </c>
      <c r="M19" s="22">
        <v>-0.1470194732</v>
      </c>
      <c r="N19" s="22">
        <v>-0.8250189762</v>
      </c>
      <c r="O19" s="22">
        <v>-0.8175357622</v>
      </c>
      <c r="P19" s="22">
        <v>-0.8622567033</v>
      </c>
      <c r="Q19" s="22">
        <v>-0.8675562851</v>
      </c>
      <c r="R19" s="22">
        <v>-0.7479936432</v>
      </c>
      <c r="S19" s="22">
        <v>-0.8627765288</v>
      </c>
    </row>
    <row r="20">
      <c r="A20" s="14" t="s">
        <v>33</v>
      </c>
      <c r="B20" s="21">
        <v>-0.495329146</v>
      </c>
      <c r="C20" s="21">
        <v>-0.1643745848</v>
      </c>
      <c r="D20" s="21">
        <v>-0.1643745848</v>
      </c>
      <c r="E20" s="21">
        <v>-0.8000443844</v>
      </c>
      <c r="F20" s="21">
        <v>-0.8415246761</v>
      </c>
      <c r="G20" s="21">
        <v>-0.8806699857</v>
      </c>
      <c r="H20" s="21">
        <v>-0.8742850225</v>
      </c>
      <c r="I20" s="21">
        <v>-0.6987077694</v>
      </c>
      <c r="J20" s="21">
        <v>-0.8689355469</v>
      </c>
      <c r="K20" s="22">
        <v>-0.7925482819</v>
      </c>
      <c r="L20" s="22">
        <v>-0.2774431914</v>
      </c>
      <c r="M20" s="22">
        <v>-0.2959423807</v>
      </c>
      <c r="N20" s="22">
        <v>-0.8440613187</v>
      </c>
      <c r="O20" s="22">
        <v>-0.806450793</v>
      </c>
      <c r="P20" s="22">
        <v>-0.8852687334</v>
      </c>
      <c r="Q20" s="22">
        <v>-0.8968823317</v>
      </c>
      <c r="R20" s="22">
        <v>-0.8238386614</v>
      </c>
      <c r="S20" s="22">
        <v>-0.8659996672</v>
      </c>
    </row>
    <row r="21">
      <c r="A21" s="14"/>
      <c r="B21" s="21"/>
      <c r="C21" s="21"/>
      <c r="D21" s="21"/>
      <c r="E21" s="21"/>
      <c r="F21" s="21"/>
      <c r="G21" s="21"/>
      <c r="H21" s="21"/>
      <c r="I21" s="21"/>
      <c r="J21" s="21"/>
      <c r="K21" s="22"/>
      <c r="L21" s="22"/>
      <c r="M21" s="22"/>
      <c r="N21" s="22"/>
      <c r="O21" s="22"/>
      <c r="P21" s="22"/>
      <c r="Q21" s="22"/>
      <c r="R21" s="22"/>
      <c r="S21" s="22"/>
    </row>
    <row r="22">
      <c r="A22" s="14"/>
      <c r="B22" s="21"/>
      <c r="C22" s="21"/>
      <c r="D22" s="21"/>
      <c r="E22" s="21"/>
      <c r="F22" s="21"/>
      <c r="G22" s="21"/>
      <c r="H22" s="21"/>
      <c r="I22" s="21"/>
      <c r="J22" s="21"/>
      <c r="K22" s="22"/>
      <c r="L22" s="22"/>
      <c r="M22" s="22"/>
      <c r="N22" s="22"/>
      <c r="O22" s="22"/>
      <c r="P22" s="22"/>
      <c r="Q22" s="22"/>
      <c r="R22" s="22"/>
      <c r="S22" s="22"/>
    </row>
    <row r="23">
      <c r="A23" s="14"/>
      <c r="B23" s="21"/>
      <c r="C23" s="21"/>
      <c r="D23" s="21"/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</row>
    <row r="24">
      <c r="A24" s="14"/>
      <c r="B24" s="21"/>
      <c r="C24" s="21"/>
      <c r="D24" s="21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</row>
    <row r="25">
      <c r="A25" s="14"/>
      <c r="B25" s="21"/>
      <c r="C25" s="21"/>
      <c r="D25" s="21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</row>
    <row r="26">
      <c r="A26" s="14"/>
      <c r="B26" s="21"/>
      <c r="C26" s="21"/>
      <c r="D26" s="21"/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</row>
    <row r="27">
      <c r="A27" s="14"/>
      <c r="B27" s="21"/>
      <c r="C27" s="21"/>
      <c r="D27" s="21"/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</row>
    <row r="28">
      <c r="A28" s="14"/>
      <c r="B28" s="21"/>
      <c r="C28" s="21"/>
      <c r="D28" s="21"/>
      <c r="E28" s="21"/>
      <c r="F28" s="21"/>
      <c r="G28" s="21"/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2"/>
      <c r="S28" s="22"/>
    </row>
    <row r="29">
      <c r="A29" s="14"/>
      <c r="B29" s="21"/>
      <c r="C29" s="21"/>
      <c r="D29" s="21"/>
      <c r="E29" s="21"/>
      <c r="F29" s="21"/>
      <c r="G29" s="21"/>
      <c r="H29" s="21"/>
      <c r="I29" s="21"/>
      <c r="J29" s="21"/>
      <c r="K29" s="22"/>
      <c r="L29" s="22"/>
      <c r="M29" s="22"/>
      <c r="N29" s="22"/>
      <c r="O29" s="22"/>
      <c r="P29" s="22"/>
      <c r="Q29" s="22"/>
      <c r="R29" s="22"/>
      <c r="S29" s="22"/>
    </row>
    <row r="30">
      <c r="A30" s="14"/>
      <c r="B30" s="21"/>
      <c r="C30" s="21"/>
      <c r="D30" s="21"/>
      <c r="E30" s="21"/>
      <c r="F30" s="21"/>
      <c r="G30" s="21"/>
      <c r="H30" s="21"/>
      <c r="I30" s="21"/>
      <c r="J30" s="21"/>
      <c r="K30" s="22"/>
      <c r="L30" s="22"/>
      <c r="M30" s="22"/>
      <c r="N30" s="22"/>
      <c r="O30" s="22"/>
      <c r="P30" s="22"/>
      <c r="Q30" s="22"/>
      <c r="R30" s="22"/>
      <c r="S30" s="22"/>
    </row>
    <row r="31">
      <c r="A31" s="14"/>
      <c r="B31" s="21"/>
      <c r="C31" s="21"/>
      <c r="D31" s="21"/>
      <c r="E31" s="21"/>
      <c r="F31" s="21"/>
      <c r="G31" s="21"/>
      <c r="H31" s="21"/>
      <c r="I31" s="21"/>
      <c r="J31" s="21"/>
      <c r="K31" s="22"/>
      <c r="L31" s="22"/>
      <c r="M31" s="22"/>
      <c r="N31" s="22"/>
      <c r="O31" s="22"/>
      <c r="P31" s="22"/>
      <c r="Q31" s="22"/>
      <c r="R31" s="22"/>
      <c r="S31" s="22"/>
    </row>
    <row r="32">
      <c r="A32" s="14"/>
      <c r="B32" s="21"/>
      <c r="C32" s="21"/>
      <c r="D32" s="21"/>
      <c r="E32" s="21"/>
      <c r="F32" s="21"/>
      <c r="G32" s="21"/>
      <c r="H32" s="21"/>
      <c r="I32" s="21"/>
      <c r="J32" s="21"/>
      <c r="K32" s="22"/>
      <c r="L32" s="22"/>
      <c r="M32" s="22"/>
      <c r="N32" s="22"/>
      <c r="O32" s="22"/>
      <c r="P32" s="22"/>
      <c r="Q32" s="22"/>
      <c r="R32" s="22"/>
      <c r="S32" s="22"/>
    </row>
    <row r="33">
      <c r="A33" s="14"/>
      <c r="B33" s="21"/>
      <c r="C33" s="21"/>
      <c r="D33" s="21"/>
      <c r="E33" s="21"/>
      <c r="F33" s="21"/>
      <c r="G33" s="21"/>
      <c r="H33" s="21"/>
      <c r="I33" s="21"/>
      <c r="J33" s="21"/>
      <c r="K33" s="22"/>
      <c r="L33" s="22"/>
      <c r="M33" s="22"/>
      <c r="N33" s="22"/>
      <c r="O33" s="22"/>
      <c r="P33" s="22"/>
      <c r="Q33" s="22"/>
      <c r="R33" s="22"/>
      <c r="S33" s="22"/>
    </row>
    <row r="34">
      <c r="A34" s="14"/>
      <c r="B34" s="21"/>
      <c r="C34" s="21"/>
      <c r="D34" s="21"/>
      <c r="E34" s="21"/>
      <c r="F34" s="21"/>
      <c r="G34" s="21"/>
      <c r="H34" s="21"/>
      <c r="I34" s="21"/>
      <c r="J34" s="21"/>
      <c r="K34" s="22"/>
      <c r="L34" s="22"/>
      <c r="M34" s="22"/>
      <c r="N34" s="22"/>
      <c r="O34" s="22"/>
      <c r="P34" s="22"/>
      <c r="Q34" s="22"/>
      <c r="R34" s="22"/>
      <c r="S34" s="22"/>
    </row>
    <row r="35">
      <c r="A35" s="14"/>
      <c r="B35" s="21"/>
      <c r="C35" s="21"/>
      <c r="D35" s="21"/>
      <c r="E35" s="21"/>
      <c r="F35" s="21"/>
      <c r="G35" s="21"/>
      <c r="H35" s="21"/>
      <c r="I35" s="21"/>
      <c r="J35" s="21"/>
      <c r="K35" s="22"/>
      <c r="L35" s="22"/>
      <c r="M35" s="22"/>
      <c r="N35" s="22"/>
      <c r="O35" s="22"/>
      <c r="P35" s="22"/>
      <c r="Q35" s="22"/>
      <c r="R35" s="22"/>
      <c r="S35" s="22"/>
    </row>
    <row r="36">
      <c r="A36" s="14"/>
      <c r="B36" s="21"/>
      <c r="C36" s="21"/>
      <c r="D36" s="21"/>
      <c r="E36" s="21"/>
      <c r="F36" s="21"/>
      <c r="G36" s="21"/>
      <c r="H36" s="21"/>
      <c r="I36" s="21"/>
      <c r="J36" s="21"/>
      <c r="K36" s="22"/>
      <c r="L36" s="22"/>
      <c r="M36" s="22"/>
      <c r="N36" s="22"/>
      <c r="O36" s="22"/>
      <c r="P36" s="22"/>
      <c r="Q36" s="22"/>
      <c r="R36" s="22"/>
      <c r="S36" s="22"/>
    </row>
    <row r="37">
      <c r="A37" s="14"/>
      <c r="B37" s="21"/>
      <c r="C37" s="21"/>
      <c r="D37" s="21"/>
      <c r="E37" s="21"/>
      <c r="F37" s="21"/>
      <c r="G37" s="21"/>
      <c r="H37" s="21"/>
      <c r="I37" s="21"/>
      <c r="J37" s="21"/>
      <c r="K37" s="22"/>
      <c r="L37" s="22"/>
      <c r="M37" s="22"/>
      <c r="N37" s="22"/>
      <c r="O37" s="22"/>
      <c r="P37" s="22"/>
      <c r="Q37" s="22"/>
      <c r="R37" s="22"/>
      <c r="S37" s="22"/>
    </row>
    <row r="38">
      <c r="A38" s="14"/>
      <c r="B38" s="21"/>
      <c r="C38" s="21"/>
      <c r="D38" s="21"/>
      <c r="E38" s="21"/>
      <c r="F38" s="21"/>
      <c r="G38" s="21"/>
      <c r="H38" s="21"/>
      <c r="I38" s="21"/>
      <c r="J38" s="21"/>
      <c r="K38" s="22"/>
      <c r="L38" s="22"/>
      <c r="M38" s="22"/>
      <c r="N38" s="22"/>
      <c r="O38" s="22"/>
      <c r="P38" s="22"/>
      <c r="Q38" s="22"/>
      <c r="R38" s="22"/>
      <c r="S38" s="22"/>
    </row>
    <row r="39">
      <c r="A39" s="14"/>
      <c r="B39" s="21"/>
      <c r="C39" s="21"/>
      <c r="D39" s="21"/>
      <c r="E39" s="21"/>
      <c r="F39" s="21"/>
      <c r="G39" s="21"/>
      <c r="H39" s="21"/>
      <c r="I39" s="21"/>
      <c r="J39" s="21"/>
      <c r="K39" s="22"/>
      <c r="L39" s="22"/>
      <c r="M39" s="22"/>
      <c r="N39" s="22"/>
      <c r="O39" s="22"/>
      <c r="P39" s="22"/>
      <c r="Q39" s="22"/>
      <c r="R39" s="22"/>
      <c r="S39" s="22"/>
    </row>
    <row r="40">
      <c r="A40" s="14"/>
      <c r="B40" s="21"/>
      <c r="C40" s="21"/>
      <c r="D40" s="21"/>
      <c r="E40" s="21"/>
      <c r="F40" s="21"/>
      <c r="G40" s="21"/>
      <c r="H40" s="21"/>
      <c r="I40" s="21"/>
      <c r="J40" s="21"/>
      <c r="K40" s="22"/>
      <c r="L40" s="22"/>
      <c r="M40" s="22"/>
      <c r="N40" s="22"/>
      <c r="O40" s="22"/>
      <c r="P40" s="22"/>
      <c r="Q40" s="22"/>
      <c r="R40" s="22"/>
      <c r="S40" s="22"/>
    </row>
    <row r="41">
      <c r="A41" s="14"/>
      <c r="B41" s="21"/>
      <c r="C41" s="21"/>
      <c r="D41" s="21"/>
      <c r="E41" s="21"/>
      <c r="F41" s="21"/>
      <c r="G41" s="21"/>
      <c r="H41" s="21"/>
      <c r="I41" s="21"/>
      <c r="J41" s="21"/>
      <c r="K41" s="22"/>
      <c r="L41" s="22"/>
      <c r="M41" s="22"/>
      <c r="N41" s="22"/>
      <c r="O41" s="22"/>
      <c r="P41" s="22"/>
      <c r="Q41" s="22"/>
      <c r="R41" s="22"/>
      <c r="S41" s="22"/>
    </row>
    <row r="42">
      <c r="A42" s="14"/>
      <c r="B42" s="21"/>
      <c r="C42" s="21"/>
      <c r="D42" s="21"/>
      <c r="E42" s="21"/>
      <c r="F42" s="21"/>
      <c r="G42" s="21"/>
      <c r="H42" s="21"/>
      <c r="I42" s="21"/>
      <c r="J42" s="21"/>
      <c r="K42" s="22"/>
      <c r="L42" s="22"/>
      <c r="M42" s="22"/>
      <c r="N42" s="22"/>
      <c r="O42" s="22"/>
      <c r="P42" s="22"/>
      <c r="Q42" s="22"/>
      <c r="R42" s="22"/>
      <c r="S42" s="22"/>
    </row>
    <row r="43">
      <c r="A43" s="14"/>
      <c r="B43" s="21"/>
      <c r="C43" s="21"/>
      <c r="D43" s="21"/>
      <c r="E43" s="21"/>
      <c r="F43" s="21"/>
      <c r="G43" s="21"/>
      <c r="H43" s="21"/>
      <c r="I43" s="21"/>
      <c r="J43" s="21"/>
      <c r="K43" s="22"/>
      <c r="L43" s="22"/>
      <c r="M43" s="22"/>
      <c r="N43" s="22"/>
      <c r="O43" s="22"/>
      <c r="P43" s="22"/>
      <c r="Q43" s="22"/>
      <c r="R43" s="22"/>
      <c r="S43" s="22"/>
    </row>
    <row r="44">
      <c r="A44" s="14"/>
      <c r="B44" s="21"/>
      <c r="C44" s="21"/>
      <c r="D44" s="21"/>
      <c r="E44" s="21"/>
      <c r="F44" s="21"/>
      <c r="G44" s="21"/>
      <c r="H44" s="21"/>
      <c r="I44" s="21"/>
      <c r="J44" s="21"/>
      <c r="K44" s="22"/>
      <c r="L44" s="22"/>
      <c r="M44" s="22"/>
      <c r="N44" s="22"/>
      <c r="O44" s="22"/>
      <c r="P44" s="22"/>
      <c r="Q44" s="22"/>
      <c r="R44" s="22"/>
      <c r="S44" s="22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mergeCells count="3">
    <mergeCell ref="A1:A2"/>
    <mergeCell ref="B1:J1"/>
    <mergeCell ref="L1:S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 t="s">
        <v>0</v>
      </c>
      <c r="B1" s="19" t="s">
        <v>1</v>
      </c>
      <c r="K1" s="20"/>
      <c r="L1" s="20" t="s">
        <v>2</v>
      </c>
      <c r="T1" s="4"/>
    </row>
    <row r="2">
      <c r="B2" s="10" t="s">
        <v>60</v>
      </c>
      <c r="C2" s="10" t="s">
        <v>8</v>
      </c>
      <c r="D2" s="10" t="s">
        <v>9</v>
      </c>
      <c r="E2" s="10" t="s">
        <v>10</v>
      </c>
      <c r="F2" s="10" t="s">
        <v>61</v>
      </c>
      <c r="G2" s="10" t="s">
        <v>13</v>
      </c>
      <c r="H2" s="10" t="s">
        <v>11</v>
      </c>
      <c r="I2" s="10" t="s">
        <v>15</v>
      </c>
      <c r="J2" s="10" t="s">
        <v>62</v>
      </c>
      <c r="K2" s="11" t="s">
        <v>60</v>
      </c>
      <c r="L2" s="11" t="s">
        <v>8</v>
      </c>
      <c r="M2" s="11" t="s">
        <v>9</v>
      </c>
      <c r="N2" s="11" t="s">
        <v>10</v>
      </c>
      <c r="O2" s="11" t="s">
        <v>61</v>
      </c>
      <c r="P2" s="11" t="s">
        <v>13</v>
      </c>
      <c r="Q2" s="11" t="s">
        <v>11</v>
      </c>
      <c r="R2" s="11" t="s">
        <v>15</v>
      </c>
      <c r="S2" s="11" t="s">
        <v>62</v>
      </c>
      <c r="T2" s="12"/>
    </row>
    <row r="3">
      <c r="A3" s="14" t="s">
        <v>16</v>
      </c>
      <c r="B3" s="21">
        <v>-0.7923057619</v>
      </c>
      <c r="C3" s="21">
        <v>-0.2174396113</v>
      </c>
      <c r="D3" s="21">
        <v>-0.2263530812</v>
      </c>
      <c r="E3" s="21">
        <v>-0.6907302129</v>
      </c>
      <c r="F3" s="21">
        <v>-0.7721304025</v>
      </c>
      <c r="G3" s="21">
        <v>-0.7923057619</v>
      </c>
      <c r="H3" s="21">
        <v>-0.7923057619</v>
      </c>
      <c r="I3" s="21">
        <v>-0.7649593052</v>
      </c>
      <c r="J3" s="21">
        <v>-0.7923057619</v>
      </c>
      <c r="K3" s="22">
        <v>-0.8757999525</v>
      </c>
      <c r="L3" s="22">
        <v>-0.2356112637</v>
      </c>
      <c r="M3" s="22">
        <v>-0.2356112637</v>
      </c>
      <c r="N3" s="22">
        <v>-0.6742756964</v>
      </c>
      <c r="O3" s="22">
        <v>-0.8273223405</v>
      </c>
      <c r="P3" s="22">
        <v>-0.8524470548</v>
      </c>
      <c r="Q3" s="22">
        <v>-0.8525347875</v>
      </c>
      <c r="R3" s="22">
        <v>-0.8524470548</v>
      </c>
      <c r="S3" s="22">
        <v>-0.8525347875</v>
      </c>
    </row>
    <row r="4">
      <c r="A4" s="14" t="s">
        <v>17</v>
      </c>
      <c r="B4" s="21">
        <v>-0.7735543165</v>
      </c>
      <c r="C4" s="21">
        <v>-0.1873995743</v>
      </c>
      <c r="D4" s="21">
        <v>-0.2006731826</v>
      </c>
      <c r="E4" s="21">
        <v>-0.6613694881</v>
      </c>
      <c r="F4" s="21">
        <v>-0.7419080771</v>
      </c>
      <c r="G4" s="21">
        <v>-0.7606216575</v>
      </c>
      <c r="H4" s="21">
        <v>-0.7606216575</v>
      </c>
      <c r="I4" s="21">
        <v>-0.7380715261</v>
      </c>
      <c r="J4" s="21">
        <v>-0.7606216575</v>
      </c>
      <c r="K4" s="22">
        <v>-0.6538934504</v>
      </c>
      <c r="L4" s="22">
        <v>-0.04687674031</v>
      </c>
      <c r="M4" s="22">
        <v>-0.0499144801</v>
      </c>
      <c r="N4" s="22">
        <v>-0.5793394841</v>
      </c>
      <c r="O4" s="22">
        <v>-0.6409280872</v>
      </c>
      <c r="P4" s="22">
        <v>-0.6538934504</v>
      </c>
      <c r="Q4" s="22">
        <v>-0.6538934504</v>
      </c>
      <c r="R4" s="22">
        <v>-0.6391700116</v>
      </c>
      <c r="S4" s="22">
        <v>-0.6538934504</v>
      </c>
    </row>
    <row r="5">
      <c r="A5" s="14" t="s">
        <v>18</v>
      </c>
      <c r="B5" s="21">
        <v>-0.7508778752</v>
      </c>
      <c r="C5" s="21">
        <v>-0.1836051538</v>
      </c>
      <c r="D5" s="21">
        <v>-0.1836051538</v>
      </c>
      <c r="E5" s="21">
        <v>-0.672768916</v>
      </c>
      <c r="F5" s="21">
        <v>-0.7398800661</v>
      </c>
      <c r="G5" s="21">
        <v>-0.7508778752</v>
      </c>
      <c r="H5" s="21">
        <v>-0.7508778752</v>
      </c>
      <c r="I5" s="21">
        <v>-0.7475749355</v>
      </c>
      <c r="J5" s="21">
        <v>-0.7508778752</v>
      </c>
      <c r="K5" s="22">
        <v>-0.7238826176</v>
      </c>
      <c r="L5" s="22">
        <v>-0.1188589452</v>
      </c>
      <c r="M5" s="22">
        <v>-0.1447595688</v>
      </c>
      <c r="N5" s="22">
        <v>-0.5774379249</v>
      </c>
      <c r="O5" s="22">
        <v>-0.7071174997</v>
      </c>
      <c r="P5" s="22">
        <v>-0.7238826176</v>
      </c>
      <c r="Q5" s="22">
        <v>-0.7238826176</v>
      </c>
      <c r="R5" s="22">
        <v>-0.7214742432</v>
      </c>
      <c r="S5" s="22">
        <v>-0.7238826176</v>
      </c>
    </row>
    <row r="6">
      <c r="A6" s="14" t="s">
        <v>19</v>
      </c>
      <c r="B6" s="21">
        <v>-0.8673945986</v>
      </c>
      <c r="C6" s="21">
        <v>-0.1496322473</v>
      </c>
      <c r="D6" s="21">
        <v>-0.1512615677</v>
      </c>
      <c r="E6" s="21">
        <v>-0.7795491554</v>
      </c>
      <c r="F6" s="21">
        <v>-0.8335913257</v>
      </c>
      <c r="G6" s="21">
        <v>-0.8574701572</v>
      </c>
      <c r="H6" s="21">
        <v>-0.8574701572</v>
      </c>
      <c r="I6" s="21">
        <v>-0.8493437265</v>
      </c>
      <c r="J6" s="21">
        <v>-0.8574701572</v>
      </c>
      <c r="K6" s="22">
        <v>-0.7768573718</v>
      </c>
      <c r="L6" s="22">
        <v>-0.1095027458</v>
      </c>
      <c r="M6" s="22">
        <v>-0.1315347913</v>
      </c>
      <c r="N6" s="22">
        <v>-0.5370683835</v>
      </c>
      <c r="O6" s="22">
        <v>-0.7389172785</v>
      </c>
      <c r="P6" s="22">
        <v>-0.7666887674</v>
      </c>
      <c r="Q6" s="22">
        <v>-0.7666887674</v>
      </c>
      <c r="R6" s="22">
        <v>-0.7565383947</v>
      </c>
      <c r="S6" s="22">
        <v>-0.7666887674</v>
      </c>
    </row>
    <row r="7">
      <c r="A7" s="14" t="s">
        <v>20</v>
      </c>
      <c r="B7" s="21">
        <v>-0.8984518402</v>
      </c>
      <c r="C7" s="21">
        <v>-0.2985962406</v>
      </c>
      <c r="D7" s="21">
        <v>-0.3332672414</v>
      </c>
      <c r="E7" s="21">
        <v>-0.7081586815</v>
      </c>
      <c r="F7" s="21">
        <v>-0.8579994149</v>
      </c>
      <c r="G7" s="21">
        <v>-0.8981681747</v>
      </c>
      <c r="H7" s="21">
        <v>-0.8984518402</v>
      </c>
      <c r="I7" s="21">
        <v>-0.8864980629</v>
      </c>
      <c r="J7" s="21">
        <v>-0.8984518402</v>
      </c>
      <c r="K7" s="22">
        <v>-0.6948144146</v>
      </c>
      <c r="L7" s="22">
        <v>-0.08901819777</v>
      </c>
      <c r="M7" s="22">
        <v>-0.08994590888</v>
      </c>
      <c r="N7" s="22">
        <v>-0.5114335467</v>
      </c>
      <c r="O7" s="22">
        <v>-0.6804509279</v>
      </c>
      <c r="P7" s="22">
        <v>-0.6948144146</v>
      </c>
      <c r="Q7" s="22">
        <v>-0.6948144146</v>
      </c>
      <c r="R7" s="22">
        <v>-0.6827357096</v>
      </c>
      <c r="S7" s="22">
        <v>-0.6948144146</v>
      </c>
    </row>
    <row r="8">
      <c r="A8" s="14" t="s">
        <v>21</v>
      </c>
      <c r="B8" s="21">
        <v>-0.7883918566</v>
      </c>
      <c r="C8" s="21">
        <v>-0.1945217253</v>
      </c>
      <c r="D8" s="21">
        <v>-0.1951657675</v>
      </c>
      <c r="E8" s="21">
        <v>-0.6674888511</v>
      </c>
      <c r="F8" s="21">
        <v>-0.765751241</v>
      </c>
      <c r="G8" s="21">
        <v>-0.7858096863</v>
      </c>
      <c r="H8" s="21">
        <v>-0.7858899158</v>
      </c>
      <c r="I8" s="21">
        <v>-0.7630001629</v>
      </c>
      <c r="J8" s="21">
        <v>-0.7858899158</v>
      </c>
      <c r="K8" s="22">
        <v>-0.8116239093</v>
      </c>
      <c r="L8" s="22">
        <v>-0.1006533068</v>
      </c>
      <c r="M8" s="22">
        <v>-0.1055966572</v>
      </c>
      <c r="N8" s="22">
        <v>-0.7033762736</v>
      </c>
      <c r="O8" s="22">
        <v>-0.7953517931</v>
      </c>
      <c r="P8" s="22">
        <v>-0.8043490279</v>
      </c>
      <c r="Q8" s="22">
        <v>-0.8043697078</v>
      </c>
      <c r="R8" s="22">
        <v>-0.7856168443</v>
      </c>
      <c r="S8" s="22">
        <v>-0.8043697078</v>
      </c>
    </row>
    <row r="9">
      <c r="A9" s="14" t="s">
        <v>22</v>
      </c>
      <c r="B9" s="21">
        <v>-0.9231822893</v>
      </c>
      <c r="C9" s="21">
        <v>-0.3298523644</v>
      </c>
      <c r="D9" s="21">
        <v>-0.3411309999</v>
      </c>
      <c r="E9" s="21">
        <v>-0.671010556</v>
      </c>
      <c r="F9" s="21">
        <v>-0.8704137442</v>
      </c>
      <c r="G9" s="21">
        <v>-0.8907294477</v>
      </c>
      <c r="H9" s="21">
        <v>-0.9126019851</v>
      </c>
      <c r="I9" s="21">
        <v>-0.7466729265</v>
      </c>
      <c r="J9" s="21">
        <v>-0.9027050223</v>
      </c>
      <c r="K9" s="22">
        <v>-0.9197108907</v>
      </c>
      <c r="L9" s="22">
        <v>-0.2135362645</v>
      </c>
      <c r="M9" s="22">
        <v>-0.2485418418</v>
      </c>
      <c r="N9" s="22">
        <v>-0.6821100031</v>
      </c>
      <c r="O9" s="22">
        <v>-0.8717826268</v>
      </c>
      <c r="P9" s="22">
        <v>-0.8954837513</v>
      </c>
      <c r="Q9" s="22">
        <v>-0.877479889</v>
      </c>
      <c r="R9" s="22">
        <v>-0.8115282969</v>
      </c>
      <c r="S9" s="22">
        <v>-0.895774315</v>
      </c>
    </row>
    <row r="10">
      <c r="A10" s="14" t="s">
        <v>23</v>
      </c>
      <c r="B10" s="21">
        <v>-0.8756654926</v>
      </c>
      <c r="C10" s="21">
        <v>-0.2649649468</v>
      </c>
      <c r="D10" s="21">
        <v>-0.2714281293</v>
      </c>
      <c r="E10" s="21">
        <v>-0.7347853624</v>
      </c>
      <c r="F10" s="21">
        <v>-0.8318579646</v>
      </c>
      <c r="G10" s="21">
        <v>-0.8523755368</v>
      </c>
      <c r="H10" s="21">
        <v>-0.8566055104</v>
      </c>
      <c r="I10" s="21">
        <v>-0.7813109464</v>
      </c>
      <c r="J10" s="21">
        <v>-0.8527995008</v>
      </c>
      <c r="K10" s="22">
        <v>-0.8446884357</v>
      </c>
      <c r="L10" s="22">
        <v>-0.2048358998</v>
      </c>
      <c r="M10" s="22">
        <v>-0.2232972344</v>
      </c>
      <c r="N10" s="22">
        <v>-0.6440230515</v>
      </c>
      <c r="O10" s="22">
        <v>-0.7972743508</v>
      </c>
      <c r="P10" s="22">
        <v>-0.7993022298</v>
      </c>
      <c r="Q10" s="22">
        <v>-0.7698614074</v>
      </c>
      <c r="R10" s="22">
        <v>-0.7393355111</v>
      </c>
      <c r="S10" s="22">
        <v>-0.8152117985</v>
      </c>
    </row>
    <row r="11">
      <c r="A11" s="14" t="s">
        <v>24</v>
      </c>
      <c r="B11" s="21">
        <v>-0.8719387372</v>
      </c>
      <c r="C11" s="21">
        <v>-0.2583926641</v>
      </c>
      <c r="D11" s="21">
        <v>-0.2960464629</v>
      </c>
      <c r="E11" s="21">
        <v>-0.669020082</v>
      </c>
      <c r="F11" s="21">
        <v>-0.8235948508</v>
      </c>
      <c r="G11" s="21">
        <v>-0.8629623232</v>
      </c>
      <c r="H11" s="21">
        <v>-0.8654853543</v>
      </c>
      <c r="I11" s="21">
        <v>-0.7786184849</v>
      </c>
      <c r="J11" s="21">
        <v>-0.8569657703</v>
      </c>
      <c r="K11" s="22">
        <v>-0.9370154334</v>
      </c>
      <c r="L11" s="22">
        <v>-0.2419561473</v>
      </c>
      <c r="M11" s="22">
        <v>-0.2847784555</v>
      </c>
      <c r="N11" s="22">
        <v>-0.7240880528</v>
      </c>
      <c r="O11" s="22">
        <v>-0.8834883338</v>
      </c>
      <c r="P11" s="22">
        <v>-0.9157689895</v>
      </c>
      <c r="Q11" s="22">
        <v>-0.8987503736</v>
      </c>
      <c r="R11" s="22">
        <v>-0.7922916582</v>
      </c>
      <c r="S11" s="22">
        <v>-0.9165088928</v>
      </c>
    </row>
    <row r="12">
      <c r="A12" s="14" t="s">
        <v>25</v>
      </c>
      <c r="B12" s="21">
        <v>-0.9018268369</v>
      </c>
      <c r="C12" s="21">
        <v>-0.1655946475</v>
      </c>
      <c r="D12" s="21">
        <v>-0.2126751466</v>
      </c>
      <c r="E12" s="21">
        <v>-0.6227037523</v>
      </c>
      <c r="F12" s="21">
        <v>-0.8376720566</v>
      </c>
      <c r="G12" s="21">
        <v>-0.8772977941</v>
      </c>
      <c r="H12" s="21">
        <v>-0.8196561013</v>
      </c>
      <c r="I12" s="21">
        <v>-0.755814362</v>
      </c>
      <c r="J12" s="21">
        <v>-0.8763065593</v>
      </c>
      <c r="K12" s="22">
        <v>-0.8272916153</v>
      </c>
      <c r="L12" s="22">
        <v>-0.202400298</v>
      </c>
      <c r="M12" s="22">
        <v>-0.2312408489</v>
      </c>
      <c r="N12" s="22">
        <v>-0.671922255</v>
      </c>
      <c r="O12" s="22">
        <v>-0.9051445142</v>
      </c>
      <c r="P12" s="22">
        <v>-0.9180477047</v>
      </c>
      <c r="Q12" s="22">
        <v>-0.8443501793</v>
      </c>
      <c r="R12" s="22">
        <v>-0.7909094954</v>
      </c>
      <c r="S12" s="22">
        <v>-0.9277710618</v>
      </c>
    </row>
    <row r="13">
      <c r="A13" s="14" t="s">
        <v>26</v>
      </c>
      <c r="B13" s="21">
        <v>-0.8839579023</v>
      </c>
      <c r="C13" s="21">
        <v>-0.262294712</v>
      </c>
      <c r="D13" s="21">
        <v>-0.2674754728</v>
      </c>
      <c r="E13" s="21">
        <v>-0.6443018669</v>
      </c>
      <c r="F13" s="21">
        <v>-0.8289391467</v>
      </c>
      <c r="G13" s="21">
        <v>-0.8626441934</v>
      </c>
      <c r="H13" s="21">
        <v>-0.8298071448</v>
      </c>
      <c r="I13" s="21">
        <v>-0.7610690152</v>
      </c>
      <c r="J13" s="21">
        <v>-0.8669126676</v>
      </c>
      <c r="K13" s="22">
        <v>-0.8963004878</v>
      </c>
      <c r="L13" s="22">
        <v>-0.240468721</v>
      </c>
      <c r="M13" s="22">
        <v>-0.2994626529</v>
      </c>
      <c r="N13" s="22">
        <v>-0.6411012653</v>
      </c>
      <c r="O13" s="22">
        <v>-0.8451663199</v>
      </c>
      <c r="P13" s="22">
        <v>-0.879570157</v>
      </c>
      <c r="Q13" s="22">
        <v>-0.8279754908</v>
      </c>
      <c r="R13" s="22">
        <v>-0.7188223226</v>
      </c>
      <c r="S13" s="22">
        <v>-0.8748880866</v>
      </c>
    </row>
    <row r="14">
      <c r="A14" s="14" t="s">
        <v>27</v>
      </c>
      <c r="B14" s="21">
        <v>-0.7718105766</v>
      </c>
      <c r="C14" s="21">
        <v>-0.2259458848</v>
      </c>
      <c r="D14" s="21">
        <v>-0.2342004917</v>
      </c>
      <c r="E14" s="21">
        <v>-0.6401089188</v>
      </c>
      <c r="F14" s="21">
        <v>-0.8696921734</v>
      </c>
      <c r="G14" s="21">
        <v>-0.8945736135</v>
      </c>
      <c r="H14" s="21">
        <v>-0.8446223647</v>
      </c>
      <c r="I14" s="21">
        <v>-0.831119832</v>
      </c>
      <c r="J14" s="21">
        <v>-0.9072197898</v>
      </c>
      <c r="K14" s="22">
        <v>-0.7529242329</v>
      </c>
      <c r="L14" s="22">
        <v>-0.2315394205</v>
      </c>
      <c r="M14" s="22">
        <v>-0.2365358498</v>
      </c>
      <c r="N14" s="22">
        <v>-0.6495435899</v>
      </c>
      <c r="O14" s="22">
        <v>-0.8702736978</v>
      </c>
      <c r="P14" s="22">
        <v>-0.9130938843</v>
      </c>
      <c r="Q14" s="22">
        <v>-0.8639404474</v>
      </c>
      <c r="R14" s="22">
        <v>-0.8755550929</v>
      </c>
      <c r="S14" s="22">
        <v>-0.9062151901</v>
      </c>
    </row>
    <row r="15">
      <c r="A15" s="14" t="s">
        <v>28</v>
      </c>
      <c r="B15" s="21">
        <v>-0.7451239796</v>
      </c>
      <c r="C15" s="21">
        <v>-0.3112103394</v>
      </c>
      <c r="D15" s="21">
        <v>-0.378551464</v>
      </c>
      <c r="E15" s="21">
        <v>-0.7179490012</v>
      </c>
      <c r="F15" s="21">
        <v>-0.8796021225</v>
      </c>
      <c r="G15" s="21">
        <v>-0.9154722274</v>
      </c>
      <c r="H15" s="21">
        <v>-0.9083845109</v>
      </c>
      <c r="I15" s="21">
        <v>-0.7997371344</v>
      </c>
      <c r="J15" s="21">
        <v>-0.920275621</v>
      </c>
      <c r="K15" s="22">
        <v>-0.4446460442</v>
      </c>
      <c r="L15" s="22">
        <v>-0.2325446325</v>
      </c>
      <c r="M15" s="22">
        <v>-0.2428095056</v>
      </c>
      <c r="N15" s="22">
        <v>-0.6831559859</v>
      </c>
      <c r="O15" s="22">
        <v>-0.8192681435</v>
      </c>
      <c r="P15" s="22">
        <v>-0.8622708075</v>
      </c>
      <c r="Q15" s="22">
        <v>-0.8410119754</v>
      </c>
      <c r="R15" s="22">
        <v>-0.7354199718</v>
      </c>
      <c r="S15" s="22">
        <v>-0.8556080672</v>
      </c>
    </row>
    <row r="16">
      <c r="A16" s="14" t="s">
        <v>29</v>
      </c>
      <c r="B16" s="21">
        <v>-0.6486853221</v>
      </c>
      <c r="C16" s="21">
        <v>-0.2806113741</v>
      </c>
      <c r="D16" s="21">
        <v>-0.2891823462</v>
      </c>
      <c r="E16" s="21">
        <v>-0.7035333133</v>
      </c>
      <c r="F16" s="21">
        <v>-0.8847613495</v>
      </c>
      <c r="G16" s="21">
        <v>-0.9228207019</v>
      </c>
      <c r="H16" s="21">
        <v>-0.9078911022</v>
      </c>
      <c r="I16" s="21">
        <v>-0.7490095397</v>
      </c>
      <c r="J16" s="21">
        <v>-0.9245242573</v>
      </c>
      <c r="K16" s="22">
        <v>-0.4253646287</v>
      </c>
      <c r="L16" s="22">
        <v>-0.2185462943</v>
      </c>
      <c r="M16" s="22">
        <v>-0.2409673793</v>
      </c>
      <c r="N16" s="22">
        <v>-0.7183372328</v>
      </c>
      <c r="O16" s="22">
        <v>-0.8444944981</v>
      </c>
      <c r="P16" s="22">
        <v>-0.8759753161</v>
      </c>
      <c r="Q16" s="22">
        <v>-0.8543603987</v>
      </c>
      <c r="R16" s="22">
        <v>-0.7650000067</v>
      </c>
      <c r="S16" s="22">
        <v>-0.8844842118</v>
      </c>
    </row>
    <row r="17">
      <c r="A17" s="14" t="s">
        <v>30</v>
      </c>
      <c r="B17" s="21">
        <v>-0.587760716</v>
      </c>
      <c r="C17" s="21">
        <v>-0.3206515474</v>
      </c>
      <c r="D17" s="21">
        <v>-0.3350361864</v>
      </c>
      <c r="E17" s="21">
        <v>-0.7450218215</v>
      </c>
      <c r="F17" s="21">
        <v>-0.8339285944</v>
      </c>
      <c r="G17" s="21">
        <v>-0.8852670638</v>
      </c>
      <c r="H17" s="21">
        <v>-0.8787193113</v>
      </c>
      <c r="I17" s="21">
        <v>-0.7002720849</v>
      </c>
      <c r="J17" s="21">
        <v>-0.8719858423</v>
      </c>
      <c r="K17" s="22">
        <v>-0.5161115743</v>
      </c>
      <c r="L17" s="22">
        <v>-0.2526227151</v>
      </c>
      <c r="M17" s="22">
        <v>-0.2766606311</v>
      </c>
      <c r="N17" s="22">
        <v>-0.6869073284</v>
      </c>
      <c r="O17" s="22">
        <v>-0.8251928045</v>
      </c>
      <c r="P17" s="22">
        <v>-0.8525320229</v>
      </c>
      <c r="Q17" s="22">
        <v>-0.8257337417</v>
      </c>
      <c r="R17" s="22">
        <v>-0.6981031512</v>
      </c>
      <c r="S17" s="22">
        <v>-0.8517012232</v>
      </c>
    </row>
    <row r="18">
      <c r="A18" s="14" t="s">
        <v>31</v>
      </c>
      <c r="B18" s="21">
        <v>-0.4774829465</v>
      </c>
      <c r="C18" s="21">
        <v>-0.2639521236</v>
      </c>
      <c r="D18" s="21">
        <v>-0.2950357507</v>
      </c>
      <c r="E18" s="21">
        <v>-0.7169381428</v>
      </c>
      <c r="F18" s="21">
        <v>-0.8586666474</v>
      </c>
      <c r="G18" s="21">
        <v>-0.8755773804</v>
      </c>
      <c r="H18" s="21">
        <v>-0.8682514779</v>
      </c>
      <c r="I18" s="21">
        <v>-0.8182359639</v>
      </c>
      <c r="J18" s="21">
        <v>-0.8911543795</v>
      </c>
      <c r="K18" s="22">
        <v>-0.4830498637</v>
      </c>
      <c r="L18" s="22">
        <v>-0.2141290868</v>
      </c>
      <c r="M18" s="22">
        <v>-0.2705773636</v>
      </c>
      <c r="N18" s="22">
        <v>-0.7164468643</v>
      </c>
      <c r="O18" s="22">
        <v>-0.8966002563</v>
      </c>
      <c r="P18" s="22">
        <v>-0.9405441703</v>
      </c>
      <c r="Q18" s="22">
        <v>-0.912566882</v>
      </c>
      <c r="R18" s="22">
        <v>-0.8333331308</v>
      </c>
      <c r="S18" s="22">
        <v>-0.9246066535</v>
      </c>
    </row>
    <row r="19">
      <c r="A19" s="14" t="s">
        <v>32</v>
      </c>
      <c r="B19" s="21">
        <v>-0.6500485936</v>
      </c>
      <c r="C19" s="21">
        <v>-0.3188916881</v>
      </c>
      <c r="D19" s="21">
        <v>-0.3301087373</v>
      </c>
      <c r="E19" s="21">
        <v>-0.7144276782</v>
      </c>
      <c r="F19" s="21">
        <v>-0.8817247199</v>
      </c>
      <c r="G19" s="21">
        <v>-0.9523630143</v>
      </c>
      <c r="H19" s="21">
        <v>-0.9196928857</v>
      </c>
      <c r="I19" s="21">
        <v>-0.9047011461</v>
      </c>
      <c r="J19" s="21">
        <v>-0.9341002595</v>
      </c>
      <c r="K19" s="22">
        <v>-0.5314954314</v>
      </c>
      <c r="L19" s="22">
        <v>-0.3233877965</v>
      </c>
      <c r="M19" s="22">
        <v>-0.3589513388</v>
      </c>
      <c r="N19" s="22">
        <v>-0.701804122</v>
      </c>
      <c r="O19" s="22">
        <v>-0.8183996189</v>
      </c>
      <c r="P19" s="22">
        <v>-0.8652937987</v>
      </c>
      <c r="Q19" s="22">
        <v>-0.8683698899</v>
      </c>
      <c r="R19" s="22">
        <v>-0.7085965809</v>
      </c>
      <c r="S19" s="22">
        <v>-0.8505076602</v>
      </c>
    </row>
    <row r="20">
      <c r="A20" s="14" t="s">
        <v>33</v>
      </c>
      <c r="B20" s="21">
        <v>-0.602763904</v>
      </c>
      <c r="C20" s="21">
        <v>-0.2677059552</v>
      </c>
      <c r="D20" s="21">
        <v>-0.3114110168</v>
      </c>
      <c r="E20" s="21">
        <v>-0.661192286</v>
      </c>
      <c r="F20" s="21">
        <v>-0.8540610395</v>
      </c>
      <c r="G20" s="21">
        <v>-0.9068535097</v>
      </c>
      <c r="H20" s="21">
        <v>-0.8812096202</v>
      </c>
      <c r="I20" s="21">
        <v>-0.8008999397</v>
      </c>
      <c r="J20" s="21">
        <v>-0.8911174941</v>
      </c>
      <c r="K20" s="22">
        <v>-0.5309970607</v>
      </c>
      <c r="L20" s="22">
        <v>-0.2828638131</v>
      </c>
      <c r="M20" s="22">
        <v>-0.2919085413</v>
      </c>
      <c r="N20" s="22">
        <v>-0.7040127471</v>
      </c>
      <c r="O20" s="22">
        <v>-0.9079273475</v>
      </c>
      <c r="P20" s="22">
        <v>-0.9341388104</v>
      </c>
      <c r="Q20" s="22">
        <v>-0.9254911192</v>
      </c>
      <c r="R20" s="22">
        <v>-0.8102906386</v>
      </c>
      <c r="S20" s="22">
        <v>-0.944459934</v>
      </c>
    </row>
    <row r="21">
      <c r="A21" s="14"/>
      <c r="B21" s="21"/>
      <c r="C21" s="21"/>
      <c r="D21" s="21"/>
      <c r="E21" s="21"/>
      <c r="F21" s="21"/>
      <c r="G21" s="21"/>
      <c r="H21" s="21"/>
      <c r="I21" s="21"/>
      <c r="J21" s="21"/>
      <c r="K21" s="22"/>
      <c r="L21" s="22"/>
      <c r="M21" s="22"/>
      <c r="N21" s="22"/>
      <c r="O21" s="22"/>
      <c r="P21" s="22"/>
      <c r="Q21" s="22"/>
      <c r="R21" s="22"/>
      <c r="S21" s="22"/>
    </row>
    <row r="22">
      <c r="A22" s="14"/>
      <c r="B22" s="21"/>
      <c r="C22" s="21"/>
      <c r="D22" s="21"/>
      <c r="E22" s="21"/>
      <c r="F22" s="21"/>
      <c r="G22" s="21"/>
      <c r="H22" s="21"/>
      <c r="I22" s="21"/>
      <c r="J22" s="21"/>
      <c r="K22" s="22"/>
      <c r="L22" s="22"/>
      <c r="M22" s="22"/>
      <c r="N22" s="22"/>
      <c r="O22" s="22"/>
      <c r="P22" s="22"/>
      <c r="Q22" s="22"/>
      <c r="R22" s="22"/>
      <c r="S22" s="22"/>
    </row>
    <row r="23">
      <c r="A23" s="14"/>
      <c r="B23" s="21"/>
      <c r="C23" s="21"/>
      <c r="D23" s="21"/>
      <c r="E23" s="21"/>
      <c r="F23" s="21"/>
      <c r="G23" s="21"/>
      <c r="H23" s="21"/>
      <c r="I23" s="21"/>
      <c r="J23" s="21"/>
      <c r="K23" s="22"/>
      <c r="L23" s="22"/>
      <c r="M23" s="22"/>
      <c r="N23" s="22"/>
      <c r="O23" s="22"/>
      <c r="P23" s="22"/>
      <c r="Q23" s="22"/>
      <c r="R23" s="22"/>
      <c r="S23" s="22"/>
    </row>
    <row r="24">
      <c r="A24" s="14"/>
      <c r="B24" s="21"/>
      <c r="C24" s="21"/>
      <c r="D24" s="21"/>
      <c r="E24" s="21"/>
      <c r="F24" s="21"/>
      <c r="G24" s="21"/>
      <c r="H24" s="21"/>
      <c r="I24" s="21"/>
      <c r="J24" s="21"/>
      <c r="K24" s="22"/>
      <c r="L24" s="22"/>
      <c r="M24" s="22"/>
      <c r="N24" s="22"/>
      <c r="O24" s="22"/>
      <c r="P24" s="22"/>
      <c r="Q24" s="22"/>
      <c r="R24" s="22"/>
      <c r="S24" s="22"/>
    </row>
    <row r="25">
      <c r="A25" s="14"/>
      <c r="B25" s="21"/>
      <c r="C25" s="21"/>
      <c r="D25" s="21"/>
      <c r="E25" s="21"/>
      <c r="F25" s="21"/>
      <c r="G25" s="21"/>
      <c r="H25" s="21"/>
      <c r="I25" s="21"/>
      <c r="J25" s="21"/>
      <c r="K25" s="22"/>
      <c r="L25" s="22"/>
      <c r="M25" s="22"/>
      <c r="N25" s="22"/>
      <c r="O25" s="22"/>
      <c r="P25" s="22"/>
      <c r="Q25" s="22"/>
      <c r="R25" s="22"/>
      <c r="S25" s="22"/>
    </row>
    <row r="26">
      <c r="A26" s="14"/>
      <c r="B26" s="21"/>
      <c r="C26" s="21"/>
      <c r="D26" s="21"/>
      <c r="E26" s="21"/>
      <c r="F26" s="21"/>
      <c r="G26" s="21"/>
      <c r="H26" s="21"/>
      <c r="I26" s="21"/>
      <c r="J26" s="21"/>
      <c r="K26" s="22"/>
      <c r="L26" s="22"/>
      <c r="M26" s="22"/>
      <c r="N26" s="22"/>
      <c r="O26" s="22"/>
      <c r="P26" s="22"/>
      <c r="Q26" s="22"/>
      <c r="R26" s="22"/>
      <c r="S26" s="22"/>
    </row>
    <row r="27">
      <c r="A27" s="14"/>
      <c r="B27" s="21"/>
      <c r="C27" s="21"/>
      <c r="D27" s="21"/>
      <c r="E27" s="21"/>
      <c r="F27" s="21"/>
      <c r="G27" s="21"/>
      <c r="H27" s="21"/>
      <c r="I27" s="21"/>
      <c r="J27" s="21"/>
      <c r="K27" s="22"/>
      <c r="L27" s="22"/>
      <c r="M27" s="22"/>
      <c r="N27" s="22"/>
      <c r="O27" s="22"/>
      <c r="P27" s="22"/>
      <c r="Q27" s="22"/>
      <c r="R27" s="22"/>
      <c r="S27" s="22"/>
    </row>
    <row r="28">
      <c r="A28" s="14"/>
      <c r="B28" s="21"/>
      <c r="C28" s="21"/>
      <c r="D28" s="21"/>
      <c r="E28" s="21"/>
      <c r="F28" s="21"/>
      <c r="G28" s="21"/>
      <c r="H28" s="21"/>
      <c r="I28" s="21"/>
      <c r="J28" s="21"/>
      <c r="K28" s="22"/>
      <c r="L28" s="22"/>
      <c r="M28" s="22"/>
      <c r="N28" s="22"/>
      <c r="O28" s="22"/>
      <c r="P28" s="22"/>
      <c r="Q28" s="22"/>
      <c r="R28" s="22"/>
      <c r="S28" s="22"/>
    </row>
    <row r="29">
      <c r="A29" s="14"/>
      <c r="B29" s="21"/>
      <c r="C29" s="21"/>
      <c r="D29" s="21"/>
      <c r="E29" s="21"/>
      <c r="F29" s="21"/>
      <c r="G29" s="21"/>
      <c r="H29" s="21"/>
      <c r="I29" s="21"/>
      <c r="J29" s="21"/>
      <c r="K29" s="22"/>
      <c r="L29" s="22"/>
      <c r="M29" s="22"/>
      <c r="N29" s="22"/>
      <c r="O29" s="22"/>
      <c r="P29" s="22"/>
      <c r="Q29" s="22"/>
      <c r="R29" s="22"/>
      <c r="S29" s="22"/>
    </row>
    <row r="30">
      <c r="A30" s="14"/>
      <c r="B30" s="21"/>
      <c r="C30" s="21"/>
      <c r="D30" s="21"/>
      <c r="E30" s="21"/>
      <c r="F30" s="21"/>
      <c r="G30" s="21"/>
      <c r="H30" s="21"/>
      <c r="I30" s="21"/>
      <c r="J30" s="21"/>
      <c r="K30" s="22"/>
      <c r="L30" s="22"/>
      <c r="M30" s="22"/>
      <c r="N30" s="22"/>
      <c r="O30" s="22"/>
      <c r="P30" s="22"/>
      <c r="Q30" s="22"/>
      <c r="R30" s="22"/>
      <c r="S30" s="22"/>
    </row>
    <row r="31">
      <c r="A31" s="14"/>
      <c r="B31" s="21"/>
      <c r="C31" s="21"/>
      <c r="D31" s="21"/>
      <c r="E31" s="21"/>
      <c r="F31" s="21"/>
      <c r="G31" s="21"/>
      <c r="H31" s="21"/>
      <c r="I31" s="21"/>
      <c r="J31" s="21"/>
      <c r="K31" s="22"/>
      <c r="L31" s="22"/>
      <c r="M31" s="22"/>
      <c r="N31" s="22"/>
      <c r="O31" s="22"/>
      <c r="P31" s="22"/>
      <c r="Q31" s="22"/>
      <c r="R31" s="22"/>
      <c r="S31" s="22"/>
    </row>
    <row r="32">
      <c r="A32" s="14"/>
      <c r="B32" s="21"/>
      <c r="C32" s="21"/>
      <c r="D32" s="21"/>
      <c r="E32" s="21"/>
      <c r="F32" s="21"/>
      <c r="G32" s="21"/>
      <c r="H32" s="21"/>
      <c r="I32" s="21"/>
      <c r="J32" s="21"/>
      <c r="K32" s="22"/>
      <c r="L32" s="22"/>
      <c r="M32" s="22"/>
      <c r="N32" s="22"/>
      <c r="O32" s="22"/>
      <c r="P32" s="22"/>
      <c r="Q32" s="22"/>
      <c r="R32" s="22"/>
      <c r="S32" s="22"/>
    </row>
    <row r="33">
      <c r="A33" s="14"/>
      <c r="B33" s="21"/>
      <c r="C33" s="21"/>
      <c r="D33" s="21"/>
      <c r="E33" s="21"/>
      <c r="F33" s="21"/>
      <c r="G33" s="21"/>
      <c r="H33" s="21"/>
      <c r="I33" s="21"/>
      <c r="J33" s="21"/>
      <c r="K33" s="22"/>
      <c r="L33" s="22"/>
      <c r="M33" s="22"/>
      <c r="N33" s="22"/>
      <c r="O33" s="22"/>
      <c r="P33" s="22"/>
      <c r="Q33" s="22"/>
      <c r="R33" s="22"/>
      <c r="S33" s="22"/>
    </row>
    <row r="34">
      <c r="A34" s="14"/>
      <c r="B34" s="21"/>
      <c r="C34" s="21"/>
      <c r="D34" s="21"/>
      <c r="E34" s="21"/>
      <c r="F34" s="21"/>
      <c r="G34" s="21"/>
      <c r="H34" s="21"/>
      <c r="I34" s="21"/>
      <c r="J34" s="21"/>
      <c r="K34" s="22"/>
      <c r="L34" s="22"/>
      <c r="M34" s="22"/>
      <c r="N34" s="22"/>
      <c r="O34" s="22"/>
      <c r="P34" s="22"/>
      <c r="Q34" s="22"/>
      <c r="R34" s="22"/>
      <c r="S34" s="22"/>
    </row>
    <row r="35">
      <c r="A35" s="14"/>
      <c r="B35" s="21"/>
      <c r="C35" s="21"/>
      <c r="D35" s="21"/>
      <c r="E35" s="21"/>
      <c r="F35" s="21"/>
      <c r="G35" s="21"/>
      <c r="H35" s="21"/>
      <c r="I35" s="21"/>
      <c r="J35" s="21"/>
      <c r="K35" s="22"/>
      <c r="L35" s="22"/>
      <c r="M35" s="22"/>
      <c r="N35" s="22"/>
      <c r="O35" s="22"/>
      <c r="P35" s="22"/>
      <c r="Q35" s="22"/>
      <c r="R35" s="22"/>
      <c r="S35" s="22"/>
    </row>
    <row r="36">
      <c r="A36" s="14"/>
      <c r="B36" s="21"/>
      <c r="C36" s="21"/>
      <c r="D36" s="21"/>
      <c r="E36" s="21"/>
      <c r="F36" s="21"/>
      <c r="G36" s="21"/>
      <c r="H36" s="21"/>
      <c r="I36" s="21"/>
      <c r="J36" s="21"/>
      <c r="K36" s="22"/>
      <c r="L36" s="22"/>
      <c r="M36" s="22"/>
      <c r="N36" s="22"/>
      <c r="O36" s="22"/>
      <c r="P36" s="22"/>
      <c r="Q36" s="22"/>
      <c r="R36" s="22"/>
      <c r="S36" s="22"/>
    </row>
    <row r="37">
      <c r="A37" s="14"/>
      <c r="B37" s="21"/>
      <c r="C37" s="21"/>
      <c r="D37" s="21"/>
      <c r="E37" s="21"/>
      <c r="F37" s="21"/>
      <c r="G37" s="21"/>
      <c r="H37" s="21"/>
      <c r="I37" s="21"/>
      <c r="J37" s="21"/>
      <c r="K37" s="22"/>
      <c r="L37" s="22"/>
      <c r="M37" s="22"/>
      <c r="N37" s="22"/>
      <c r="O37" s="22"/>
      <c r="P37" s="22"/>
      <c r="Q37" s="22"/>
      <c r="R37" s="22"/>
      <c r="S37" s="22"/>
    </row>
    <row r="38">
      <c r="A38" s="14"/>
      <c r="B38" s="21"/>
      <c r="C38" s="21"/>
      <c r="D38" s="21"/>
      <c r="E38" s="21"/>
      <c r="F38" s="21"/>
      <c r="G38" s="21"/>
      <c r="H38" s="21"/>
      <c r="I38" s="21"/>
      <c r="J38" s="21"/>
      <c r="K38" s="22"/>
      <c r="L38" s="22"/>
      <c r="M38" s="22"/>
      <c r="N38" s="22"/>
      <c r="O38" s="22"/>
      <c r="P38" s="22"/>
      <c r="Q38" s="22"/>
      <c r="R38" s="22"/>
      <c r="S38" s="22"/>
    </row>
    <row r="39">
      <c r="A39" s="14"/>
      <c r="B39" s="21"/>
      <c r="C39" s="21"/>
      <c r="D39" s="21"/>
      <c r="E39" s="21"/>
      <c r="F39" s="21"/>
      <c r="G39" s="21"/>
      <c r="H39" s="21"/>
      <c r="I39" s="21"/>
      <c r="J39" s="21"/>
      <c r="K39" s="22"/>
      <c r="L39" s="22"/>
      <c r="M39" s="22"/>
      <c r="N39" s="22"/>
      <c r="O39" s="22"/>
      <c r="P39" s="22"/>
      <c r="Q39" s="22"/>
      <c r="R39" s="22"/>
      <c r="S39" s="22"/>
    </row>
    <row r="40">
      <c r="A40" s="14"/>
      <c r="B40" s="21"/>
      <c r="C40" s="21"/>
      <c r="D40" s="21"/>
      <c r="E40" s="21"/>
      <c r="F40" s="21"/>
      <c r="G40" s="21"/>
      <c r="H40" s="21"/>
      <c r="I40" s="21"/>
      <c r="J40" s="21"/>
      <c r="K40" s="22"/>
      <c r="L40" s="22"/>
      <c r="M40" s="22"/>
      <c r="N40" s="22"/>
      <c r="O40" s="22"/>
      <c r="P40" s="22"/>
      <c r="Q40" s="22"/>
      <c r="R40" s="22"/>
      <c r="S40" s="22"/>
    </row>
    <row r="41">
      <c r="A41" s="14"/>
      <c r="B41" s="21"/>
      <c r="C41" s="21"/>
      <c r="D41" s="21"/>
      <c r="E41" s="21"/>
      <c r="F41" s="21"/>
      <c r="G41" s="21"/>
      <c r="H41" s="21"/>
      <c r="I41" s="21"/>
      <c r="J41" s="21"/>
      <c r="K41" s="22"/>
      <c r="L41" s="22"/>
      <c r="M41" s="22"/>
      <c r="N41" s="22"/>
      <c r="O41" s="22"/>
      <c r="P41" s="22"/>
      <c r="Q41" s="22"/>
      <c r="R41" s="22"/>
      <c r="S41" s="22"/>
    </row>
    <row r="42">
      <c r="A42" s="14"/>
      <c r="B42" s="21"/>
      <c r="C42" s="21"/>
      <c r="D42" s="21"/>
      <c r="E42" s="21"/>
      <c r="F42" s="21"/>
      <c r="G42" s="21"/>
      <c r="H42" s="21"/>
      <c r="I42" s="21"/>
      <c r="J42" s="21"/>
      <c r="K42" s="22"/>
      <c r="L42" s="22"/>
      <c r="M42" s="22"/>
      <c r="N42" s="22"/>
      <c r="O42" s="22"/>
      <c r="P42" s="22"/>
      <c r="Q42" s="22"/>
      <c r="R42" s="22"/>
      <c r="S42" s="22"/>
    </row>
    <row r="43">
      <c r="A43" s="14"/>
      <c r="B43" s="21"/>
      <c r="C43" s="21"/>
      <c r="D43" s="21"/>
      <c r="E43" s="21"/>
      <c r="F43" s="21"/>
      <c r="G43" s="21"/>
      <c r="H43" s="21"/>
      <c r="I43" s="21"/>
      <c r="J43" s="21"/>
      <c r="K43" s="22"/>
      <c r="L43" s="22"/>
      <c r="M43" s="22"/>
      <c r="N43" s="22"/>
      <c r="O43" s="22"/>
      <c r="P43" s="22"/>
      <c r="Q43" s="22"/>
      <c r="R43" s="22"/>
      <c r="S43" s="22"/>
    </row>
    <row r="44">
      <c r="A44" s="14"/>
      <c r="B44" s="21"/>
      <c r="C44" s="21"/>
      <c r="D44" s="21"/>
      <c r="E44" s="21"/>
      <c r="F44" s="21"/>
      <c r="G44" s="21"/>
      <c r="H44" s="21"/>
      <c r="I44" s="21"/>
      <c r="J44" s="21"/>
      <c r="K44" s="22"/>
      <c r="L44" s="22"/>
      <c r="M44" s="22"/>
      <c r="N44" s="22"/>
      <c r="O44" s="22"/>
      <c r="P44" s="22"/>
      <c r="Q44" s="22"/>
      <c r="R44" s="22"/>
      <c r="S44" s="22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mergeCells count="3">
    <mergeCell ref="A1:A2"/>
    <mergeCell ref="B1:J1"/>
    <mergeCell ref="L1:S1"/>
  </mergeCells>
  <drawing r:id="rId1"/>
</worksheet>
</file>