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83" firstSheet="9" activeTab="10"/>
  </bookViews>
  <sheets>
    <sheet name="Beton dalle corps creux 16+4" sheetId="22" r:id="rId1"/>
    <sheet name="Beton (C+G+S) unitaire" sheetId="19" r:id="rId2"/>
    <sheet name="Beton (C+G+S) poteaux" sheetId="23" r:id="rId3"/>
    <sheet name="Beton (C+G+S) poutre" sheetId="24" r:id="rId4"/>
    <sheet name="Beton (C+G+S) poutrelle prefa" sheetId="25" r:id="rId5"/>
    <sheet name="Beton (C+G+S) poutrelle" sheetId="26" r:id="rId6"/>
    <sheet name="Beton (C+G+S) semelle isolee" sheetId="27" r:id="rId7"/>
    <sheet name="Beton (C+G+S) semelle filante" sheetId="28" r:id="rId8"/>
    <sheet name="Beton (C+G+S) dalle pleine" sheetId="29" r:id="rId9"/>
    <sheet name="Beton (C+G+S) dalle de compress" sheetId="30" r:id="rId10"/>
    <sheet name="Quantite maçonnerie" sheetId="2" r:id="rId11"/>
    <sheet name="Corps creux" sheetId="20" r:id="rId12"/>
    <sheet name="Ciment pour jointage de briques" sheetId="3" r:id="rId13"/>
    <sheet name="Ciment pour enduit" sheetId="4" r:id="rId14"/>
    <sheet name="Ciment pour poteaux" sheetId="5" r:id="rId15"/>
    <sheet name="Ciment pour poutre" sheetId="6" r:id="rId16"/>
    <sheet name="Ciment pour poutrelle prefa" sheetId="7" r:id="rId17"/>
    <sheet name="Ciment pour semelle isole" sheetId="8" r:id="rId18"/>
    <sheet name="Ciment beton dalle comprssion" sheetId="9" r:id="rId19"/>
    <sheet name="Ferraillage dalle pleine" sheetId="34" r:id="rId20"/>
    <sheet name="Ferraillage dalle de compressio" sheetId="10" r:id="rId21"/>
    <sheet name="Ferraillage de poteau" sheetId="35" r:id="rId22"/>
    <sheet name="Ferraillage de poutre" sheetId="31" r:id="rId23"/>
    <sheet name="Ferraillage de longrine" sheetId="38" r:id="rId24"/>
    <sheet name="Feraillage poutrelle" sheetId="33" r:id="rId25"/>
    <sheet name="Ferraillage semelle isolee" sheetId="16" r:id="rId26"/>
    <sheet name="Ferraillage semelle filante" sheetId="18" r:id="rId27"/>
  </sheets>
  <definedNames>
    <definedName name="_xlnm.Print_Area" localSheetId="9">'Beton (C+G+S) dalle de compress'!$F$6:$AD$34</definedName>
    <definedName name="_xlnm.Print_Area" localSheetId="8">'Beton (C+G+S) dalle pleine'!$F$6:$AD$34</definedName>
    <definedName name="_xlnm.Print_Area" localSheetId="2">'Beton (C+G+S) poteaux'!$F$6:$AD$34</definedName>
    <definedName name="_xlnm.Print_Area" localSheetId="3">'Beton (C+G+S) poutre'!$F$6:$AD$34</definedName>
    <definedName name="_xlnm.Print_Area" localSheetId="5">'Beton (C+G+S) poutrelle'!$F$6:$AD$34</definedName>
    <definedName name="_xlnm.Print_Area" localSheetId="4">'Beton (C+G+S) poutrelle prefa'!$F$6:$AD$34</definedName>
    <definedName name="_xlnm.Print_Area" localSheetId="7">'Beton (C+G+S) semelle filante'!$F$6:$AD$34</definedName>
    <definedName name="_xlnm.Print_Area" localSheetId="6">'Beton (C+G+S) semelle isolee'!$F$6:$AD$34</definedName>
    <definedName name="_xlnm.Print_Area" localSheetId="1">'Beton (C+G+S) unitaire'!$F$6:$AD$34</definedName>
    <definedName name="_xlnm.Print_Area" localSheetId="0">'Beton dalle corps creux 16+4'!$F$6:$AN$34</definedName>
    <definedName name="_xlnm.Print_Area" localSheetId="20">'Ferraillage dalle de compressio'!$A$1:$K$12</definedName>
    <definedName name="_xlnm.Print_Area" localSheetId="19">'Ferraillage dalle pleine'!$A$1:$K$12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38" l="1"/>
  <c r="M20" i="38"/>
  <c r="O19" i="38"/>
  <c r="R19" i="38"/>
  <c r="S19" i="38"/>
  <c r="T19" i="38"/>
  <c r="U19" i="38"/>
  <c r="J19" i="38"/>
  <c r="N18" i="38"/>
  <c r="M18" i="38"/>
  <c r="O17" i="38"/>
  <c r="R17" i="38"/>
  <c r="S17" i="38"/>
  <c r="T17" i="38"/>
  <c r="U17" i="38"/>
  <c r="J17" i="38"/>
  <c r="V17" i="38"/>
  <c r="W17" i="38"/>
  <c r="R16" i="38"/>
  <c r="S16" i="38"/>
  <c r="T16" i="38"/>
  <c r="U16" i="38"/>
  <c r="V16" i="38"/>
  <c r="W16" i="38"/>
  <c r="R15" i="38"/>
  <c r="S15" i="38"/>
  <c r="T15" i="38"/>
  <c r="U15" i="38"/>
  <c r="V15" i="38"/>
  <c r="W15" i="38"/>
  <c r="R14" i="38"/>
  <c r="S14" i="38"/>
  <c r="T14" i="38"/>
  <c r="U14" i="38"/>
  <c r="V14" i="38"/>
  <c r="W14" i="38"/>
  <c r="R13" i="38"/>
  <c r="S13" i="38"/>
  <c r="T13" i="38"/>
  <c r="U13" i="38"/>
  <c r="V13" i="38"/>
  <c r="W13" i="38"/>
  <c r="R12" i="38"/>
  <c r="S12" i="38"/>
  <c r="T12" i="38"/>
  <c r="U12" i="38"/>
  <c r="V12" i="38"/>
  <c r="W12" i="38"/>
  <c r="R11" i="38"/>
  <c r="S11" i="38"/>
  <c r="T11" i="38"/>
  <c r="U11" i="38"/>
  <c r="V11" i="38"/>
  <c r="P5" i="38"/>
  <c r="J19" i="35"/>
  <c r="J17" i="35"/>
  <c r="J19" i="31"/>
  <c r="J17" i="31"/>
  <c r="R12" i="31"/>
  <c r="S12" i="31"/>
  <c r="T12" i="31"/>
  <c r="R13" i="31"/>
  <c r="S13" i="31"/>
  <c r="T13" i="31"/>
  <c r="R14" i="31"/>
  <c r="S14" i="31"/>
  <c r="T14" i="31"/>
  <c r="R15" i="31"/>
  <c r="S15" i="31"/>
  <c r="T15" i="31"/>
  <c r="R16" i="31"/>
  <c r="S16" i="31"/>
  <c r="T16" i="31"/>
  <c r="V19" i="38"/>
  <c r="W19" i="38"/>
  <c r="W11" i="38"/>
  <c r="R18" i="38"/>
  <c r="S18" i="38"/>
  <c r="T18" i="38"/>
  <c r="U18" i="38"/>
  <c r="V18" i="38"/>
  <c r="R20" i="38"/>
  <c r="S20" i="38"/>
  <c r="T20" i="38"/>
  <c r="U20" i="38"/>
  <c r="V20" i="38"/>
  <c r="W20" i="38"/>
  <c r="G12" i="33"/>
  <c r="M18" i="35"/>
  <c r="J11" i="18"/>
  <c r="J27" i="18"/>
  <c r="K27" i="18"/>
  <c r="J26" i="18"/>
  <c r="K26" i="18"/>
  <c r="J25" i="18"/>
  <c r="K25" i="18"/>
  <c r="J24" i="18"/>
  <c r="K24" i="18"/>
  <c r="J23" i="18"/>
  <c r="K23" i="18"/>
  <c r="J21" i="18"/>
  <c r="K21" i="18"/>
  <c r="J20" i="18"/>
  <c r="K20" i="18"/>
  <c r="J19" i="18"/>
  <c r="K19" i="18"/>
  <c r="J18" i="18"/>
  <c r="K18" i="18"/>
  <c r="J17" i="18"/>
  <c r="K17" i="18"/>
  <c r="J15" i="18"/>
  <c r="J14" i="18"/>
  <c r="J13" i="18"/>
  <c r="J12" i="18"/>
  <c r="N5" i="18"/>
  <c r="N7" i="18"/>
  <c r="I27" i="16"/>
  <c r="J27" i="16"/>
  <c r="K27" i="16"/>
  <c r="L27" i="16"/>
  <c r="M27" i="16"/>
  <c r="N27" i="16"/>
  <c r="I26" i="16"/>
  <c r="J26" i="16"/>
  <c r="K26" i="16"/>
  <c r="L26" i="16"/>
  <c r="M26" i="16"/>
  <c r="N26" i="16"/>
  <c r="I25" i="16"/>
  <c r="J25" i="16"/>
  <c r="K25" i="16"/>
  <c r="L25" i="16"/>
  <c r="M25" i="16"/>
  <c r="N25" i="16"/>
  <c r="I24" i="16"/>
  <c r="J24" i="16"/>
  <c r="K24" i="16"/>
  <c r="L24" i="16"/>
  <c r="M24" i="16"/>
  <c r="N24" i="16"/>
  <c r="I23" i="16"/>
  <c r="J23" i="16"/>
  <c r="K23" i="16"/>
  <c r="L23" i="16"/>
  <c r="M23" i="16"/>
  <c r="N23" i="16"/>
  <c r="I21" i="16"/>
  <c r="J21" i="16"/>
  <c r="K21" i="16"/>
  <c r="L21" i="16"/>
  <c r="M21" i="16"/>
  <c r="N21" i="16"/>
  <c r="I20" i="16"/>
  <c r="J20" i="16"/>
  <c r="K20" i="16"/>
  <c r="L20" i="16"/>
  <c r="M20" i="16"/>
  <c r="N20" i="16"/>
  <c r="I19" i="16"/>
  <c r="J19" i="16"/>
  <c r="K19" i="16"/>
  <c r="L19" i="16"/>
  <c r="M19" i="16"/>
  <c r="N19" i="16"/>
  <c r="I18" i="16"/>
  <c r="J18" i="16"/>
  <c r="K18" i="16"/>
  <c r="L18" i="16"/>
  <c r="M18" i="16"/>
  <c r="N18" i="16"/>
  <c r="I17" i="16"/>
  <c r="J17" i="16"/>
  <c r="K17" i="16"/>
  <c r="L17" i="16"/>
  <c r="M17" i="16"/>
  <c r="N17" i="16"/>
  <c r="R12" i="35"/>
  <c r="S12" i="35"/>
  <c r="T12" i="35"/>
  <c r="U12" i="35"/>
  <c r="R13" i="35"/>
  <c r="S13" i="35"/>
  <c r="T13" i="35"/>
  <c r="U13" i="35"/>
  <c r="R14" i="35"/>
  <c r="S14" i="35"/>
  <c r="T14" i="35"/>
  <c r="U14" i="35"/>
  <c r="R15" i="35"/>
  <c r="S15" i="35"/>
  <c r="T15" i="35"/>
  <c r="U15" i="35"/>
  <c r="R16" i="35"/>
  <c r="S16" i="35"/>
  <c r="T16" i="35"/>
  <c r="U16" i="35"/>
  <c r="W18" i="38"/>
  <c r="V23" i="38"/>
  <c r="W23" i="38"/>
  <c r="N18" i="35"/>
  <c r="R18" i="35"/>
  <c r="S18" i="35"/>
  <c r="T18" i="35"/>
  <c r="U18" i="35"/>
  <c r="V12" i="35"/>
  <c r="W12" i="35"/>
  <c r="V13" i="35"/>
  <c r="W13" i="35"/>
  <c r="V14" i="35"/>
  <c r="W14" i="35"/>
  <c r="V15" i="35"/>
  <c r="W15" i="35"/>
  <c r="V16" i="35"/>
  <c r="W16" i="35"/>
  <c r="R11" i="35"/>
  <c r="S11" i="35"/>
  <c r="T11" i="35"/>
  <c r="P5" i="31"/>
  <c r="N20" i="35"/>
  <c r="M20" i="35"/>
  <c r="O19" i="35"/>
  <c r="R19" i="35"/>
  <c r="S19" i="35"/>
  <c r="T19" i="35"/>
  <c r="O17" i="35"/>
  <c r="R17" i="35"/>
  <c r="S17" i="35"/>
  <c r="T17" i="35"/>
  <c r="U17" i="35"/>
  <c r="J24" i="10"/>
  <c r="J25" i="10"/>
  <c r="J26" i="10"/>
  <c r="J13" i="10"/>
  <c r="J14" i="10"/>
  <c r="J15" i="10"/>
  <c r="J16" i="10"/>
  <c r="J17" i="10"/>
  <c r="J18" i="10"/>
  <c r="J19" i="10"/>
  <c r="J20" i="10"/>
  <c r="J21" i="10"/>
  <c r="J22" i="10"/>
  <c r="J23" i="10"/>
  <c r="J12" i="34"/>
  <c r="J12" i="10"/>
  <c r="J25" i="34"/>
  <c r="J24" i="34"/>
  <c r="J23" i="34"/>
  <c r="J22" i="34"/>
  <c r="J20" i="34"/>
  <c r="J19" i="34"/>
  <c r="J18" i="34"/>
  <c r="J17" i="34"/>
  <c r="J15" i="34"/>
  <c r="J14" i="34"/>
  <c r="J13" i="34"/>
  <c r="I26" i="7"/>
  <c r="J26" i="7"/>
  <c r="I27" i="7"/>
  <c r="J27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6" i="3"/>
  <c r="H16" i="3"/>
  <c r="G17" i="3"/>
  <c r="H17" i="3"/>
  <c r="G18" i="3"/>
  <c r="H18" i="3"/>
  <c r="G24" i="3"/>
  <c r="H24" i="3"/>
  <c r="G25" i="3"/>
  <c r="H25" i="3"/>
  <c r="G26" i="3"/>
  <c r="H26" i="3"/>
  <c r="G13" i="3"/>
  <c r="H13" i="3"/>
  <c r="G14" i="3"/>
  <c r="H14" i="3"/>
  <c r="G15" i="3"/>
  <c r="H15" i="3"/>
  <c r="G19" i="3"/>
  <c r="H19" i="3"/>
  <c r="G20" i="3"/>
  <c r="H20" i="3"/>
  <c r="G21" i="3"/>
  <c r="H21" i="3"/>
  <c r="G22" i="3"/>
  <c r="H22" i="3"/>
  <c r="G23" i="3"/>
  <c r="H23" i="3"/>
  <c r="F13" i="20"/>
  <c r="F14" i="20"/>
  <c r="F15" i="20"/>
  <c r="F16" i="20"/>
  <c r="F17" i="20"/>
  <c r="F18" i="20"/>
  <c r="F19" i="20"/>
  <c r="F20" i="20"/>
  <c r="F21" i="20"/>
  <c r="F22" i="20"/>
  <c r="F23" i="20"/>
  <c r="F12" i="20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10" i="2"/>
  <c r="V17" i="35"/>
  <c r="W17" i="35"/>
  <c r="V18" i="35"/>
  <c r="W18" i="35"/>
  <c r="U19" i="35"/>
  <c r="U11" i="35"/>
  <c r="R20" i="35"/>
  <c r="S20" i="35"/>
  <c r="N20" i="29"/>
  <c r="Q20" i="29"/>
  <c r="N21" i="29"/>
  <c r="Q21" i="29"/>
  <c r="N22" i="29"/>
  <c r="Q22" i="29"/>
  <c r="N23" i="29"/>
  <c r="Q23" i="29"/>
  <c r="N24" i="29"/>
  <c r="Q24" i="29"/>
  <c r="N25" i="29"/>
  <c r="Q25" i="29"/>
  <c r="N26" i="29"/>
  <c r="Q26" i="29"/>
  <c r="N27" i="29"/>
  <c r="Q27" i="29"/>
  <c r="N20" i="28"/>
  <c r="Q20" i="28"/>
  <c r="N21" i="28"/>
  <c r="Q21" i="28"/>
  <c r="N22" i="28"/>
  <c r="Q22" i="28"/>
  <c r="N23" i="28"/>
  <c r="Q23" i="28"/>
  <c r="N24" i="28"/>
  <c r="Q24" i="28"/>
  <c r="N25" i="28"/>
  <c r="Q25" i="28"/>
  <c r="N26" i="28"/>
  <c r="Q26" i="28"/>
  <c r="N27" i="28"/>
  <c r="Q27" i="28"/>
  <c r="M20" i="28"/>
  <c r="P20" i="28"/>
  <c r="M21" i="28"/>
  <c r="P21" i="28"/>
  <c r="M22" i="28"/>
  <c r="P22" i="28"/>
  <c r="M23" i="28"/>
  <c r="P23" i="28"/>
  <c r="M24" i="28"/>
  <c r="P24" i="28"/>
  <c r="M25" i="28"/>
  <c r="P25" i="28"/>
  <c r="M26" i="28"/>
  <c r="P26" i="28"/>
  <c r="M27" i="28"/>
  <c r="P27" i="28"/>
  <c r="L20" i="28"/>
  <c r="O20" i="28"/>
  <c r="L21" i="28"/>
  <c r="O21" i="28"/>
  <c r="L22" i="28"/>
  <c r="O22" i="28"/>
  <c r="L23" i="28"/>
  <c r="O23" i="28"/>
  <c r="L24" i="28"/>
  <c r="O24" i="28"/>
  <c r="L25" i="28"/>
  <c r="O25" i="28"/>
  <c r="L26" i="28"/>
  <c r="O26" i="28"/>
  <c r="L27" i="28"/>
  <c r="O27" i="28"/>
  <c r="M19" i="28"/>
  <c r="P19" i="28"/>
  <c r="N22" i="26"/>
  <c r="Q22" i="26"/>
  <c r="N24" i="26"/>
  <c r="Q24" i="26"/>
  <c r="N26" i="26"/>
  <c r="Q26" i="26"/>
  <c r="M21" i="26"/>
  <c r="P21" i="26"/>
  <c r="M23" i="26"/>
  <c r="P23" i="26"/>
  <c r="M25" i="26"/>
  <c r="P25" i="26"/>
  <c r="L20" i="26"/>
  <c r="O20" i="26"/>
  <c r="L22" i="26"/>
  <c r="O22" i="26"/>
  <c r="L24" i="26"/>
  <c r="O24" i="26"/>
  <c r="N19" i="26"/>
  <c r="Q19" i="26"/>
  <c r="N20" i="26"/>
  <c r="Q20" i="26"/>
  <c r="N21" i="26"/>
  <c r="Q21" i="26"/>
  <c r="N23" i="26"/>
  <c r="Q23" i="26"/>
  <c r="N25" i="26"/>
  <c r="Q25" i="26"/>
  <c r="N27" i="26"/>
  <c r="Q27" i="26"/>
  <c r="M19" i="26"/>
  <c r="P19" i="26"/>
  <c r="M20" i="26"/>
  <c r="P20" i="26"/>
  <c r="M22" i="26"/>
  <c r="P22" i="26"/>
  <c r="M24" i="26"/>
  <c r="P24" i="26"/>
  <c r="M26" i="26"/>
  <c r="P26" i="26"/>
  <c r="M27" i="26"/>
  <c r="P27" i="26"/>
  <c r="L19" i="26"/>
  <c r="O19" i="26"/>
  <c r="L21" i="26"/>
  <c r="O21" i="26"/>
  <c r="L23" i="26"/>
  <c r="O23" i="26"/>
  <c r="L25" i="26"/>
  <c r="O25" i="26"/>
  <c r="L26" i="26"/>
  <c r="O26" i="26"/>
  <c r="L27" i="26"/>
  <c r="O27" i="26"/>
  <c r="N23" i="25"/>
  <c r="Q23" i="25"/>
  <c r="N24" i="25"/>
  <c r="Q24" i="25"/>
  <c r="N25" i="25"/>
  <c r="Q25" i="25"/>
  <c r="M22" i="25"/>
  <c r="P22" i="25"/>
  <c r="M23" i="25"/>
  <c r="P23" i="25"/>
  <c r="M24" i="25"/>
  <c r="P24" i="25"/>
  <c r="L21" i="25"/>
  <c r="O21" i="25"/>
  <c r="L22" i="25"/>
  <c r="O22" i="25"/>
  <c r="L23" i="25"/>
  <c r="O23" i="25"/>
  <c r="N19" i="25"/>
  <c r="Q19" i="25"/>
  <c r="N20" i="25"/>
  <c r="Q20" i="25"/>
  <c r="N21" i="25"/>
  <c r="Q21" i="25"/>
  <c r="N22" i="25"/>
  <c r="Q22" i="25"/>
  <c r="N26" i="25"/>
  <c r="Q26" i="25"/>
  <c r="N27" i="25"/>
  <c r="Q27" i="25"/>
  <c r="M19" i="25"/>
  <c r="P19" i="25"/>
  <c r="M20" i="25"/>
  <c r="P20" i="25"/>
  <c r="M21" i="25"/>
  <c r="P21" i="25"/>
  <c r="M25" i="25"/>
  <c r="P25" i="25"/>
  <c r="M26" i="25"/>
  <c r="P26" i="25"/>
  <c r="M27" i="25"/>
  <c r="P27" i="25"/>
  <c r="L19" i="25"/>
  <c r="O19" i="25"/>
  <c r="L20" i="25"/>
  <c r="O20" i="25"/>
  <c r="L24" i="25"/>
  <c r="O24" i="25"/>
  <c r="L25" i="25"/>
  <c r="O25" i="25"/>
  <c r="L26" i="25"/>
  <c r="O26" i="25"/>
  <c r="L27" i="25"/>
  <c r="O27" i="25"/>
  <c r="N20" i="24"/>
  <c r="Q20" i="24"/>
  <c r="M19" i="24"/>
  <c r="P19" i="24"/>
  <c r="M27" i="24"/>
  <c r="P27" i="24"/>
  <c r="L26" i="24"/>
  <c r="O26" i="24"/>
  <c r="N19" i="24"/>
  <c r="Q19" i="24"/>
  <c r="N21" i="24"/>
  <c r="Q21" i="24"/>
  <c r="N22" i="24"/>
  <c r="Q22" i="24"/>
  <c r="N23" i="24"/>
  <c r="Q23" i="24"/>
  <c r="N24" i="24"/>
  <c r="Q24" i="24"/>
  <c r="N25" i="24"/>
  <c r="Q25" i="24"/>
  <c r="N26" i="24"/>
  <c r="Q26" i="24"/>
  <c r="N27" i="24"/>
  <c r="Q27" i="24"/>
  <c r="M20" i="24"/>
  <c r="P20" i="24"/>
  <c r="M21" i="24"/>
  <c r="P21" i="24"/>
  <c r="M22" i="24"/>
  <c r="P22" i="24"/>
  <c r="M23" i="24"/>
  <c r="P23" i="24"/>
  <c r="M24" i="24"/>
  <c r="P24" i="24"/>
  <c r="M25" i="24"/>
  <c r="P25" i="24"/>
  <c r="M26" i="24"/>
  <c r="P26" i="24"/>
  <c r="L19" i="24"/>
  <c r="O19" i="24"/>
  <c r="L20" i="24"/>
  <c r="O20" i="24"/>
  <c r="L21" i="24"/>
  <c r="O21" i="24"/>
  <c r="L22" i="24"/>
  <c r="O22" i="24"/>
  <c r="L23" i="24"/>
  <c r="O23" i="24"/>
  <c r="L24" i="24"/>
  <c r="O24" i="24"/>
  <c r="L25" i="24"/>
  <c r="O25" i="24"/>
  <c r="L27" i="24"/>
  <c r="O27" i="24"/>
  <c r="N19" i="23"/>
  <c r="Q19" i="23"/>
  <c r="N20" i="23"/>
  <c r="Q20" i="23"/>
  <c r="N21" i="23"/>
  <c r="Q21" i="23"/>
  <c r="N22" i="23"/>
  <c r="Q22" i="23"/>
  <c r="N23" i="23"/>
  <c r="Q23" i="23"/>
  <c r="N24" i="23"/>
  <c r="Q24" i="23"/>
  <c r="N25" i="23"/>
  <c r="Q25" i="23"/>
  <c r="N26" i="23"/>
  <c r="Q26" i="23"/>
  <c r="N27" i="23"/>
  <c r="Q27" i="23"/>
  <c r="M19" i="23"/>
  <c r="P19" i="23"/>
  <c r="M20" i="23"/>
  <c r="P20" i="23"/>
  <c r="M21" i="23"/>
  <c r="P21" i="23"/>
  <c r="M22" i="23"/>
  <c r="P22" i="23"/>
  <c r="M23" i="23"/>
  <c r="P23" i="23"/>
  <c r="M24" i="23"/>
  <c r="P24" i="23"/>
  <c r="M25" i="23"/>
  <c r="P25" i="23"/>
  <c r="M26" i="23"/>
  <c r="P26" i="23"/>
  <c r="M27" i="23"/>
  <c r="P27" i="23"/>
  <c r="L19" i="23"/>
  <c r="O19" i="23"/>
  <c r="L20" i="23"/>
  <c r="O20" i="23"/>
  <c r="L21" i="23"/>
  <c r="O21" i="23"/>
  <c r="L22" i="23"/>
  <c r="O22" i="23"/>
  <c r="L23" i="23"/>
  <c r="O23" i="23"/>
  <c r="L24" i="23"/>
  <c r="O24" i="23"/>
  <c r="L25" i="23"/>
  <c r="O25" i="23"/>
  <c r="L26" i="23"/>
  <c r="O26" i="23"/>
  <c r="L27" i="23"/>
  <c r="O27" i="23"/>
  <c r="T20" i="35"/>
  <c r="U20" i="35"/>
  <c r="V20" i="35"/>
  <c r="W20" i="35"/>
  <c r="V19" i="35"/>
  <c r="W19" i="35"/>
  <c r="V11" i="35"/>
  <c r="W11" i="35"/>
  <c r="I13" i="7"/>
  <c r="J32" i="34"/>
  <c r="J31" i="34"/>
  <c r="J30" i="34"/>
  <c r="J29" i="34"/>
  <c r="K14" i="34"/>
  <c r="K17" i="34"/>
  <c r="K20" i="34"/>
  <c r="K24" i="34"/>
  <c r="K25" i="34"/>
  <c r="K12" i="34"/>
  <c r="K23" i="34"/>
  <c r="K22" i="34"/>
  <c r="K19" i="34"/>
  <c r="K18" i="34"/>
  <c r="K15" i="34"/>
  <c r="K13" i="34"/>
  <c r="L30" i="33"/>
  <c r="M30" i="33"/>
  <c r="N30" i="33"/>
  <c r="O30" i="33"/>
  <c r="Q30" i="33"/>
  <c r="R30" i="33"/>
  <c r="L29" i="33"/>
  <c r="M29" i="33"/>
  <c r="N29" i="33"/>
  <c r="O29" i="33"/>
  <c r="Q29" i="33"/>
  <c r="R29" i="33"/>
  <c r="L28" i="33"/>
  <c r="M28" i="33"/>
  <c r="N28" i="33"/>
  <c r="O28" i="33"/>
  <c r="Q28" i="33"/>
  <c r="R28" i="33"/>
  <c r="L27" i="33"/>
  <c r="M27" i="33"/>
  <c r="N27" i="33"/>
  <c r="O27" i="33"/>
  <c r="Q27" i="33"/>
  <c r="R27" i="33"/>
  <c r="I26" i="33"/>
  <c r="G26" i="33"/>
  <c r="L26" i="33"/>
  <c r="M26" i="33"/>
  <c r="N26" i="33"/>
  <c r="O26" i="33"/>
  <c r="I25" i="33"/>
  <c r="G25" i="33"/>
  <c r="L25" i="33"/>
  <c r="M25" i="33"/>
  <c r="N25" i="33"/>
  <c r="O25" i="33"/>
  <c r="Q25" i="33"/>
  <c r="R25" i="33"/>
  <c r="L23" i="33"/>
  <c r="M23" i="33"/>
  <c r="N23" i="33"/>
  <c r="O23" i="33"/>
  <c r="Q23" i="33"/>
  <c r="R23" i="33"/>
  <c r="L22" i="33"/>
  <c r="M22" i="33"/>
  <c r="N22" i="33"/>
  <c r="O22" i="33"/>
  <c r="Q22" i="33"/>
  <c r="R22" i="33"/>
  <c r="L21" i="33"/>
  <c r="M21" i="33"/>
  <c r="N21" i="33"/>
  <c r="O21" i="33"/>
  <c r="Q21" i="33"/>
  <c r="R21" i="33"/>
  <c r="L20" i="33"/>
  <c r="M20" i="33"/>
  <c r="N20" i="33"/>
  <c r="O20" i="33"/>
  <c r="Q20" i="33"/>
  <c r="I19" i="33"/>
  <c r="G19" i="33"/>
  <c r="I18" i="33"/>
  <c r="G18" i="33"/>
  <c r="L14" i="33"/>
  <c r="M14" i="33"/>
  <c r="N14" i="33"/>
  <c r="O14" i="33"/>
  <c r="Q14" i="33"/>
  <c r="R14" i="33"/>
  <c r="L15" i="33"/>
  <c r="M15" i="33"/>
  <c r="N15" i="33"/>
  <c r="O15" i="33"/>
  <c r="Q15" i="33"/>
  <c r="R15" i="33"/>
  <c r="L16" i="33"/>
  <c r="M16" i="33"/>
  <c r="N16" i="33"/>
  <c r="O16" i="33"/>
  <c r="Q16" i="33"/>
  <c r="R16" i="33"/>
  <c r="L13" i="33"/>
  <c r="M13" i="33"/>
  <c r="N13" i="33"/>
  <c r="O13" i="33"/>
  <c r="Q13" i="33"/>
  <c r="R13" i="33"/>
  <c r="L12" i="33"/>
  <c r="M12" i="33"/>
  <c r="N12" i="33"/>
  <c r="O12" i="33"/>
  <c r="I12" i="33"/>
  <c r="I11" i="33"/>
  <c r="G11" i="33"/>
  <c r="K31" i="34"/>
  <c r="K30" i="34"/>
  <c r="Q12" i="33"/>
  <c r="R12" i="33"/>
  <c r="V23" i="35"/>
  <c r="W23" i="35"/>
  <c r="K29" i="34"/>
  <c r="K32" i="34"/>
  <c r="R39" i="33"/>
  <c r="Q26" i="33"/>
  <c r="R26" i="33"/>
  <c r="R20" i="33"/>
  <c r="R36" i="33"/>
  <c r="Q36" i="33"/>
  <c r="Q38" i="33"/>
  <c r="R38" i="33"/>
  <c r="Q39" i="33"/>
  <c r="Q37" i="33"/>
  <c r="R37" i="33"/>
  <c r="L18" i="33"/>
  <c r="M18" i="33"/>
  <c r="N18" i="33"/>
  <c r="O18" i="33"/>
  <c r="Q18" i="33"/>
  <c r="R18" i="33"/>
  <c r="L19" i="33"/>
  <c r="M19" i="33"/>
  <c r="N19" i="33"/>
  <c r="O19" i="33"/>
  <c r="Q19" i="33"/>
  <c r="L11" i="33"/>
  <c r="M11" i="33"/>
  <c r="N11" i="33"/>
  <c r="O11" i="33"/>
  <c r="Q11" i="33"/>
  <c r="R11" i="33"/>
  <c r="J35" i="18"/>
  <c r="K35" i="18"/>
  <c r="J34" i="18"/>
  <c r="K34" i="18"/>
  <c r="J33" i="18"/>
  <c r="K33" i="18"/>
  <c r="J32" i="18"/>
  <c r="K32" i="18"/>
  <c r="J31" i="18"/>
  <c r="K31" i="18"/>
  <c r="K15" i="18"/>
  <c r="K14" i="18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I12" i="9"/>
  <c r="J12" i="9"/>
  <c r="I16" i="9"/>
  <c r="J16" i="9"/>
  <c r="I17" i="9"/>
  <c r="J17" i="9"/>
  <c r="I18" i="9"/>
  <c r="J18" i="9"/>
  <c r="I20" i="9"/>
  <c r="J20" i="9"/>
  <c r="I24" i="9"/>
  <c r="J24" i="9"/>
  <c r="I11" i="9"/>
  <c r="J11" i="9"/>
  <c r="I13" i="9"/>
  <c r="J13" i="9"/>
  <c r="I14" i="9"/>
  <c r="J14" i="9"/>
  <c r="I15" i="9"/>
  <c r="J15" i="9"/>
  <c r="I19" i="9"/>
  <c r="J19" i="9"/>
  <c r="I21" i="9"/>
  <c r="J21" i="9"/>
  <c r="I22" i="9"/>
  <c r="J22" i="9"/>
  <c r="I23" i="9"/>
  <c r="J23" i="9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14" i="6"/>
  <c r="J14" i="6"/>
  <c r="I15" i="6"/>
  <c r="J15" i="6"/>
  <c r="I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I25" i="6"/>
  <c r="J25" i="6"/>
  <c r="I26" i="6"/>
  <c r="J26" i="6"/>
  <c r="I27" i="6"/>
  <c r="J27" i="6"/>
  <c r="I13" i="6"/>
  <c r="J16" i="6"/>
  <c r="J24" i="6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M18" i="30"/>
  <c r="M19" i="30"/>
  <c r="M20" i="30"/>
  <c r="M21" i="30"/>
  <c r="M22" i="30"/>
  <c r="M23" i="30"/>
  <c r="M24" i="30"/>
  <c r="M25" i="30"/>
  <c r="M26" i="30"/>
  <c r="M27" i="30"/>
  <c r="M29" i="30"/>
  <c r="N18" i="30"/>
  <c r="N19" i="30"/>
  <c r="N20" i="30"/>
  <c r="N21" i="30"/>
  <c r="N22" i="30"/>
  <c r="N23" i="30"/>
  <c r="N24" i="30"/>
  <c r="N25" i="30"/>
  <c r="N26" i="30"/>
  <c r="N27" i="30"/>
  <c r="N29" i="30"/>
  <c r="L18" i="30"/>
  <c r="O18" i="30"/>
  <c r="L19" i="30"/>
  <c r="O19" i="30"/>
  <c r="L20" i="30"/>
  <c r="O20" i="30"/>
  <c r="L21" i="30"/>
  <c r="O21" i="30"/>
  <c r="L22" i="30"/>
  <c r="O22" i="30"/>
  <c r="L23" i="30"/>
  <c r="O23" i="30"/>
  <c r="L24" i="30"/>
  <c r="O24" i="30"/>
  <c r="L25" i="30"/>
  <c r="O25" i="30"/>
  <c r="L26" i="30"/>
  <c r="O26" i="30"/>
  <c r="L27" i="30"/>
  <c r="O27" i="30"/>
  <c r="O29" i="30"/>
  <c r="P18" i="30"/>
  <c r="P19" i="30"/>
  <c r="P20" i="30"/>
  <c r="P21" i="30"/>
  <c r="P22" i="30"/>
  <c r="P23" i="30"/>
  <c r="P24" i="30"/>
  <c r="P25" i="30"/>
  <c r="P26" i="30"/>
  <c r="P27" i="30"/>
  <c r="P29" i="30"/>
  <c r="Q18" i="30"/>
  <c r="Q19" i="30"/>
  <c r="Q20" i="30"/>
  <c r="Q21" i="30"/>
  <c r="Q22" i="30"/>
  <c r="Q23" i="30"/>
  <c r="Q24" i="30"/>
  <c r="Q25" i="30"/>
  <c r="Q26" i="30"/>
  <c r="Q27" i="30"/>
  <c r="Q29" i="30"/>
  <c r="L29" i="30"/>
  <c r="J33" i="29"/>
  <c r="J32" i="29"/>
  <c r="L18" i="29"/>
  <c r="L19" i="28"/>
  <c r="O19" i="28"/>
  <c r="L18" i="28"/>
  <c r="L29" i="28"/>
  <c r="N19" i="28"/>
  <c r="Q19" i="28"/>
  <c r="N19" i="27"/>
  <c r="Q19" i="27"/>
  <c r="N20" i="27"/>
  <c r="Q20" i="27"/>
  <c r="N21" i="27"/>
  <c r="Q21" i="27"/>
  <c r="N22" i="27"/>
  <c r="Q22" i="27"/>
  <c r="N23" i="27"/>
  <c r="Q23" i="27"/>
  <c r="N25" i="27"/>
  <c r="Q25" i="27"/>
  <c r="N26" i="27"/>
  <c r="Q26" i="27"/>
  <c r="N27" i="27"/>
  <c r="Q27" i="27"/>
  <c r="N24" i="27"/>
  <c r="M19" i="27"/>
  <c r="P19" i="27"/>
  <c r="M20" i="27"/>
  <c r="P20" i="27"/>
  <c r="M21" i="27"/>
  <c r="M22" i="27"/>
  <c r="P22" i="27"/>
  <c r="M23" i="27"/>
  <c r="P23" i="27"/>
  <c r="M24" i="27"/>
  <c r="M25" i="27"/>
  <c r="M26" i="27"/>
  <c r="M27" i="27"/>
  <c r="P27" i="27"/>
  <c r="L19" i="27"/>
  <c r="O19" i="27"/>
  <c r="L20" i="27"/>
  <c r="O20" i="27"/>
  <c r="L21" i="27"/>
  <c r="O21" i="27"/>
  <c r="L22" i="27"/>
  <c r="O22" i="27"/>
  <c r="L23" i="27"/>
  <c r="O23" i="27"/>
  <c r="L25" i="27"/>
  <c r="O25" i="27"/>
  <c r="L26" i="27"/>
  <c r="O26" i="27"/>
  <c r="L27" i="27"/>
  <c r="O27" i="27"/>
  <c r="P21" i="27"/>
  <c r="P25" i="27"/>
  <c r="P26" i="27"/>
  <c r="L18" i="26"/>
  <c r="L29" i="26"/>
  <c r="R24" i="23"/>
  <c r="L18" i="23"/>
  <c r="L29" i="23"/>
  <c r="N18" i="19"/>
  <c r="Q18" i="19"/>
  <c r="N19" i="19"/>
  <c r="Q19" i="19"/>
  <c r="N20" i="19"/>
  <c r="N21" i="19"/>
  <c r="Q21" i="19"/>
  <c r="N22" i="19"/>
  <c r="Q22" i="19"/>
  <c r="N23" i="19"/>
  <c r="Q23" i="19"/>
  <c r="N24" i="19"/>
  <c r="Q24" i="19"/>
  <c r="N25" i="19"/>
  <c r="Q25" i="19"/>
  <c r="M19" i="19"/>
  <c r="P19" i="19"/>
  <c r="M20" i="19"/>
  <c r="M21" i="19"/>
  <c r="P21" i="19"/>
  <c r="M22" i="19"/>
  <c r="P22" i="19"/>
  <c r="M23" i="19"/>
  <c r="P23" i="19"/>
  <c r="M24" i="19"/>
  <c r="P24" i="19"/>
  <c r="M25" i="19"/>
  <c r="P25" i="19"/>
  <c r="L19" i="19"/>
  <c r="O19" i="19"/>
  <c r="L20" i="19"/>
  <c r="L21" i="19"/>
  <c r="O21" i="19"/>
  <c r="L22" i="19"/>
  <c r="O22" i="19"/>
  <c r="L23" i="19"/>
  <c r="O23" i="19"/>
  <c r="L24" i="19"/>
  <c r="O24" i="19"/>
  <c r="L25" i="19"/>
  <c r="O25" i="19"/>
  <c r="M18" i="19"/>
  <c r="P18" i="19"/>
  <c r="R34" i="33"/>
  <c r="P24" i="27"/>
  <c r="Q24" i="27"/>
  <c r="N28" i="19"/>
  <c r="Q20" i="19"/>
  <c r="Q28" i="19"/>
  <c r="O20" i="19"/>
  <c r="P20" i="19"/>
  <c r="P28" i="19"/>
  <c r="M28" i="19"/>
  <c r="R19" i="33"/>
  <c r="R35" i="33"/>
  <c r="Q35" i="33"/>
  <c r="Q34" i="33"/>
  <c r="I12" i="16"/>
  <c r="J12" i="16"/>
  <c r="K12" i="16"/>
  <c r="L12" i="16"/>
  <c r="M12" i="16"/>
  <c r="I13" i="16"/>
  <c r="J13" i="16"/>
  <c r="K13" i="16"/>
  <c r="L13" i="16"/>
  <c r="M13" i="16"/>
  <c r="I14" i="16"/>
  <c r="J14" i="16"/>
  <c r="K14" i="16"/>
  <c r="L14" i="16"/>
  <c r="M14" i="16"/>
  <c r="I15" i="16"/>
  <c r="J15" i="16"/>
  <c r="K15" i="16"/>
  <c r="L15" i="16"/>
  <c r="M15" i="16"/>
  <c r="I11" i="16"/>
  <c r="J11" i="16"/>
  <c r="K11" i="16"/>
  <c r="L11" i="16"/>
  <c r="M11" i="16"/>
  <c r="M20" i="31"/>
  <c r="N20" i="31"/>
  <c r="O19" i="31"/>
  <c r="M18" i="31"/>
  <c r="N18" i="31"/>
  <c r="O17" i="31"/>
  <c r="R17" i="31"/>
  <c r="U14" i="31"/>
  <c r="U16" i="31"/>
  <c r="R11" i="31"/>
  <c r="S11" i="31"/>
  <c r="T11" i="31"/>
  <c r="U11" i="31"/>
  <c r="V11" i="31"/>
  <c r="R20" i="31"/>
  <c r="S20" i="31"/>
  <c r="T20" i="31"/>
  <c r="U20" i="31"/>
  <c r="V20" i="31"/>
  <c r="R18" i="31"/>
  <c r="S18" i="31"/>
  <c r="T18" i="31"/>
  <c r="U18" i="31"/>
  <c r="V18" i="31"/>
  <c r="R19" i="31"/>
  <c r="S19" i="31"/>
  <c r="T19" i="31"/>
  <c r="U19" i="31"/>
  <c r="V19" i="31"/>
  <c r="U15" i="31"/>
  <c r="V15" i="31"/>
  <c r="W15" i="31"/>
  <c r="U12" i="31"/>
  <c r="V12" i="31"/>
  <c r="W12" i="31"/>
  <c r="U13" i="31"/>
  <c r="V13" i="31"/>
  <c r="W13" i="31"/>
  <c r="N12" i="16"/>
  <c r="N15" i="16"/>
  <c r="M31" i="16"/>
  <c r="N31" i="16"/>
  <c r="W11" i="31"/>
  <c r="S17" i="31"/>
  <c r="T17" i="31"/>
  <c r="U17" i="31"/>
  <c r="V17" i="31"/>
  <c r="J29" i="10"/>
  <c r="I30" i="7"/>
  <c r="I30" i="6"/>
  <c r="X102" i="30"/>
  <c r="W100" i="30"/>
  <c r="S95" i="30"/>
  <c r="S94" i="30"/>
  <c r="S93" i="30"/>
  <c r="S87" i="30"/>
  <c r="S86" i="30"/>
  <c r="S85" i="30"/>
  <c r="S79" i="30"/>
  <c r="S78" i="30"/>
  <c r="S77" i="30"/>
  <c r="V60" i="30"/>
  <c r="U56" i="30"/>
  <c r="U54" i="30"/>
  <c r="U53" i="30"/>
  <c r="U52" i="30"/>
  <c r="V52" i="30"/>
  <c r="U48" i="30"/>
  <c r="U45" i="30"/>
  <c r="W46" i="30"/>
  <c r="W42" i="30"/>
  <c r="U43" i="30"/>
  <c r="X102" i="29"/>
  <c r="W100" i="29"/>
  <c r="S95" i="29"/>
  <c r="S94" i="29"/>
  <c r="S93" i="29"/>
  <c r="S87" i="29"/>
  <c r="S86" i="29"/>
  <c r="S85" i="29"/>
  <c r="S79" i="29"/>
  <c r="S78" i="29"/>
  <c r="S77" i="29"/>
  <c r="V60" i="29"/>
  <c r="U56" i="29"/>
  <c r="U54" i="29"/>
  <c r="U53" i="29"/>
  <c r="U52" i="29"/>
  <c r="V52" i="29"/>
  <c r="U48" i="29"/>
  <c r="U45" i="29"/>
  <c r="W46" i="29"/>
  <c r="W42" i="29"/>
  <c r="U43" i="29"/>
  <c r="M27" i="29"/>
  <c r="P27" i="29"/>
  <c r="L27" i="29"/>
  <c r="O27" i="29"/>
  <c r="M26" i="29"/>
  <c r="P26" i="29"/>
  <c r="L26" i="29"/>
  <c r="O26" i="29"/>
  <c r="M25" i="29"/>
  <c r="P25" i="29"/>
  <c r="L25" i="29"/>
  <c r="O25" i="29"/>
  <c r="M24" i="29"/>
  <c r="P24" i="29"/>
  <c r="L24" i="29"/>
  <c r="O24" i="29"/>
  <c r="M23" i="29"/>
  <c r="P23" i="29"/>
  <c r="L23" i="29"/>
  <c r="O23" i="29"/>
  <c r="M22" i="29"/>
  <c r="P22" i="29"/>
  <c r="L22" i="29"/>
  <c r="O22" i="29"/>
  <c r="M21" i="29"/>
  <c r="P21" i="29"/>
  <c r="L21" i="29"/>
  <c r="O21" i="29"/>
  <c r="M20" i="29"/>
  <c r="P20" i="29"/>
  <c r="L20" i="29"/>
  <c r="O20" i="29"/>
  <c r="N19" i="29"/>
  <c r="Q19" i="29"/>
  <c r="M19" i="29"/>
  <c r="P19" i="29"/>
  <c r="L19" i="29"/>
  <c r="L29" i="29"/>
  <c r="N18" i="29"/>
  <c r="N29" i="29"/>
  <c r="M18" i="29"/>
  <c r="M29" i="29"/>
  <c r="X102" i="28"/>
  <c r="W100" i="28"/>
  <c r="S95" i="28"/>
  <c r="S94" i="28"/>
  <c r="S93" i="28"/>
  <c r="S87" i="28"/>
  <c r="S86" i="28"/>
  <c r="S85" i="28"/>
  <c r="S79" i="28"/>
  <c r="S78" i="28"/>
  <c r="S77" i="28"/>
  <c r="V60" i="28"/>
  <c r="U56" i="28"/>
  <c r="U54" i="28"/>
  <c r="U53" i="28"/>
  <c r="U52" i="28"/>
  <c r="V52" i="28"/>
  <c r="U48" i="28"/>
  <c r="U45" i="28"/>
  <c r="W46" i="28"/>
  <c r="U44" i="28"/>
  <c r="W42" i="28"/>
  <c r="U43" i="28"/>
  <c r="W41" i="28"/>
  <c r="N18" i="28"/>
  <c r="M18" i="28"/>
  <c r="O18" i="28"/>
  <c r="O29" i="28"/>
  <c r="X102" i="27"/>
  <c r="W100" i="27"/>
  <c r="S95" i="27"/>
  <c r="S94" i="27"/>
  <c r="S93" i="27"/>
  <c r="S87" i="27"/>
  <c r="S86" i="27"/>
  <c r="S85" i="27"/>
  <c r="S79" i="27"/>
  <c r="S78" i="27"/>
  <c r="S77" i="27"/>
  <c r="V60" i="27"/>
  <c r="U56" i="27"/>
  <c r="U54" i="27"/>
  <c r="U53" i="27"/>
  <c r="V52" i="27"/>
  <c r="U52" i="27"/>
  <c r="U48" i="27"/>
  <c r="U45" i="27"/>
  <c r="W46" i="27"/>
  <c r="U44" i="27"/>
  <c r="W42" i="27"/>
  <c r="U43" i="27"/>
  <c r="W41" i="27"/>
  <c r="L24" i="27"/>
  <c r="N18" i="27"/>
  <c r="M18" i="27"/>
  <c r="M29" i="27"/>
  <c r="L18" i="27"/>
  <c r="X102" i="26"/>
  <c r="W100" i="26"/>
  <c r="S95" i="26"/>
  <c r="S94" i="26"/>
  <c r="S93" i="26"/>
  <c r="S87" i="26"/>
  <c r="S86" i="26"/>
  <c r="S85" i="26"/>
  <c r="S79" i="26"/>
  <c r="S78" i="26"/>
  <c r="S77" i="26"/>
  <c r="V60" i="26"/>
  <c r="U56" i="26"/>
  <c r="U54" i="26"/>
  <c r="U53" i="26"/>
  <c r="V52" i="26"/>
  <c r="U52" i="26"/>
  <c r="U48" i="26"/>
  <c r="U45" i="26"/>
  <c r="W46" i="26"/>
  <c r="W42" i="26"/>
  <c r="U43" i="26"/>
  <c r="W41" i="26"/>
  <c r="O18" i="26"/>
  <c r="O29" i="26"/>
  <c r="N18" i="26"/>
  <c r="N29" i="26"/>
  <c r="M18" i="26"/>
  <c r="M29" i="26"/>
  <c r="X102" i="25"/>
  <c r="W100" i="25"/>
  <c r="S95" i="25"/>
  <c r="S94" i="25"/>
  <c r="S93" i="25"/>
  <c r="S87" i="25"/>
  <c r="S86" i="25"/>
  <c r="S85" i="25"/>
  <c r="S79" i="25"/>
  <c r="S78" i="25"/>
  <c r="S77" i="25"/>
  <c r="V60" i="25"/>
  <c r="U56" i="25"/>
  <c r="U54" i="25"/>
  <c r="U53" i="25"/>
  <c r="V52" i="25"/>
  <c r="U52" i="25"/>
  <c r="U48" i="25"/>
  <c r="U45" i="25"/>
  <c r="W46" i="25"/>
  <c r="W42" i="25"/>
  <c r="U43" i="25"/>
  <c r="W41" i="25"/>
  <c r="N18" i="25"/>
  <c r="M18" i="25"/>
  <c r="L18" i="25"/>
  <c r="L29" i="25"/>
  <c r="X102" i="24"/>
  <c r="W100" i="24"/>
  <c r="S95" i="24"/>
  <c r="S94" i="24"/>
  <c r="S93" i="24"/>
  <c r="S87" i="24"/>
  <c r="S86" i="24"/>
  <c r="S85" i="24"/>
  <c r="S79" i="24"/>
  <c r="S78" i="24"/>
  <c r="S77" i="24"/>
  <c r="V60" i="24"/>
  <c r="U56" i="24"/>
  <c r="U54" i="24"/>
  <c r="U53" i="24"/>
  <c r="U52" i="24"/>
  <c r="V52" i="24"/>
  <c r="U48" i="24"/>
  <c r="U45" i="24"/>
  <c r="W46" i="24"/>
  <c r="W42" i="24"/>
  <c r="U43" i="24"/>
  <c r="W41" i="24"/>
  <c r="N18" i="24"/>
  <c r="M18" i="24"/>
  <c r="L18" i="24"/>
  <c r="N18" i="23"/>
  <c r="M18" i="23"/>
  <c r="X102" i="23"/>
  <c r="W100" i="23"/>
  <c r="S95" i="23"/>
  <c r="S94" i="23"/>
  <c r="S93" i="23"/>
  <c r="S87" i="23"/>
  <c r="S86" i="23"/>
  <c r="S85" i="23"/>
  <c r="S79" i="23"/>
  <c r="S78" i="23"/>
  <c r="S77" i="23"/>
  <c r="V60" i="23"/>
  <c r="U56" i="23"/>
  <c r="U54" i="23"/>
  <c r="U53" i="23"/>
  <c r="V52" i="23"/>
  <c r="U52" i="23"/>
  <c r="U48" i="23"/>
  <c r="U45" i="23"/>
  <c r="W46" i="23"/>
  <c r="U44" i="23"/>
  <c r="W42" i="23"/>
  <c r="U43" i="23"/>
  <c r="W41" i="23"/>
  <c r="M29" i="28"/>
  <c r="P18" i="28"/>
  <c r="P29" i="28"/>
  <c r="N29" i="28"/>
  <c r="Q18" i="28"/>
  <c r="Q29" i="28"/>
  <c r="Q18" i="27"/>
  <c r="Q29" i="27"/>
  <c r="N29" i="27"/>
  <c r="O18" i="24"/>
  <c r="O29" i="24"/>
  <c r="L29" i="24"/>
  <c r="M29" i="24"/>
  <c r="P18" i="24"/>
  <c r="P29" i="24"/>
  <c r="N29" i="24"/>
  <c r="Q18" i="24"/>
  <c r="Q29" i="24"/>
  <c r="N29" i="23"/>
  <c r="Q18" i="23"/>
  <c r="Q29" i="23"/>
  <c r="M29" i="23"/>
  <c r="P18" i="23"/>
  <c r="P29" i="23"/>
  <c r="L29" i="27"/>
  <c r="O24" i="27"/>
  <c r="M29" i="25"/>
  <c r="P18" i="25"/>
  <c r="P29" i="25"/>
  <c r="N29" i="25"/>
  <c r="Q18" i="25"/>
  <c r="Q29" i="25"/>
  <c r="M34" i="16"/>
  <c r="N34" i="16"/>
  <c r="M33" i="16"/>
  <c r="N33" i="16"/>
  <c r="M32" i="16"/>
  <c r="N32" i="16"/>
  <c r="M35" i="16"/>
  <c r="N35" i="16"/>
  <c r="V16" i="31"/>
  <c r="W16" i="31"/>
  <c r="V14" i="31"/>
  <c r="W14" i="31"/>
  <c r="N13" i="16"/>
  <c r="N14" i="16"/>
  <c r="W41" i="30"/>
  <c r="W41" i="29"/>
  <c r="O19" i="29"/>
  <c r="Q18" i="29"/>
  <c r="Q29" i="29"/>
  <c r="P18" i="29"/>
  <c r="P29" i="29"/>
  <c r="P18" i="27"/>
  <c r="P29" i="27"/>
  <c r="P18" i="26"/>
  <c r="P29" i="26"/>
  <c r="Q18" i="26"/>
  <c r="Q29" i="26"/>
  <c r="O18" i="25"/>
  <c r="O29" i="25"/>
  <c r="W19" i="31"/>
  <c r="W17" i="31"/>
  <c r="U44" i="30"/>
  <c r="O18" i="29"/>
  <c r="O29" i="29"/>
  <c r="U44" i="29"/>
  <c r="O18" i="27"/>
  <c r="U44" i="26"/>
  <c r="U44" i="25"/>
  <c r="U44" i="24"/>
  <c r="O18" i="23"/>
  <c r="O29" i="23"/>
  <c r="Q19" i="22"/>
  <c r="U19" i="22"/>
  <c r="Q20" i="22"/>
  <c r="U20" i="22"/>
  <c r="Q21" i="22"/>
  <c r="U21" i="22"/>
  <c r="Q22" i="22"/>
  <c r="U22" i="22"/>
  <c r="Q23" i="22"/>
  <c r="U23" i="22"/>
  <c r="Q24" i="22"/>
  <c r="U24" i="22"/>
  <c r="Q25" i="22"/>
  <c r="U25" i="22"/>
  <c r="Q18" i="22"/>
  <c r="U18" i="22"/>
  <c r="AH102" i="22"/>
  <c r="AG100" i="22"/>
  <c r="AC95" i="22"/>
  <c r="AC94" i="22"/>
  <c r="AC93" i="22"/>
  <c r="AC87" i="22"/>
  <c r="AC86" i="22"/>
  <c r="AC85" i="22"/>
  <c r="AC79" i="22"/>
  <c r="AC78" i="22"/>
  <c r="AC77" i="22"/>
  <c r="AF60" i="22"/>
  <c r="AE56" i="22"/>
  <c r="AG42" i="22"/>
  <c r="AG41" i="22"/>
  <c r="K13" i="18"/>
  <c r="O29" i="27"/>
  <c r="W23" i="22"/>
  <c r="X23" i="22"/>
  <c r="AA23" i="22"/>
  <c r="Z23" i="22"/>
  <c r="V23" i="22"/>
  <c r="Y23" i="22"/>
  <c r="V25" i="22"/>
  <c r="Y25" i="22"/>
  <c r="AA25" i="22"/>
  <c r="W25" i="22"/>
  <c r="X25" i="22"/>
  <c r="Z25" i="22"/>
  <c r="X21" i="22"/>
  <c r="Z21" i="22"/>
  <c r="W21" i="22"/>
  <c r="V21" i="22"/>
  <c r="Y21" i="22"/>
  <c r="AA21" i="22"/>
  <c r="AA24" i="22"/>
  <c r="W24" i="22"/>
  <c r="V24" i="22"/>
  <c r="Y24" i="22"/>
  <c r="Z24" i="22"/>
  <c r="X24" i="22"/>
  <c r="X22" i="22"/>
  <c r="Z22" i="22"/>
  <c r="V22" i="22"/>
  <c r="Y22" i="22"/>
  <c r="AA22" i="22"/>
  <c r="W22" i="22"/>
  <c r="X20" i="22"/>
  <c r="V20" i="22"/>
  <c r="Y20" i="22"/>
  <c r="AA20" i="22"/>
  <c r="W20" i="22"/>
  <c r="Z20" i="22"/>
  <c r="X19" i="22"/>
  <c r="Z19" i="22"/>
  <c r="AA19" i="22"/>
  <c r="W19" i="22"/>
  <c r="V19" i="22"/>
  <c r="Y19" i="22"/>
  <c r="AA18" i="22"/>
  <c r="Z18" i="22"/>
  <c r="U28" i="22"/>
  <c r="X18" i="22"/>
  <c r="W18" i="22"/>
  <c r="V18" i="22"/>
  <c r="W20" i="31"/>
  <c r="W18" i="31"/>
  <c r="AG46" i="22"/>
  <c r="X28" i="22"/>
  <c r="W28" i="22"/>
  <c r="Z28" i="22"/>
  <c r="AA28" i="22"/>
  <c r="Y18" i="22"/>
  <c r="Y28" i="22"/>
  <c r="V28" i="22"/>
  <c r="V23" i="31"/>
  <c r="W23" i="31"/>
  <c r="F25" i="20"/>
  <c r="L18" i="19"/>
  <c r="L28" i="19"/>
  <c r="X102" i="19"/>
  <c r="W100" i="19"/>
  <c r="S95" i="19"/>
  <c r="S94" i="19"/>
  <c r="S93" i="19"/>
  <c r="S87" i="19"/>
  <c r="S86" i="19"/>
  <c r="S85" i="19"/>
  <c r="S79" i="19"/>
  <c r="S78" i="19"/>
  <c r="S77" i="19"/>
  <c r="V60" i="19"/>
  <c r="U56" i="19"/>
  <c r="U54" i="19"/>
  <c r="U53" i="19"/>
  <c r="V52" i="19"/>
  <c r="U48" i="19"/>
  <c r="U45" i="19"/>
  <c r="U44" i="19"/>
  <c r="W42" i="19"/>
  <c r="U43" i="19"/>
  <c r="J13" i="6"/>
  <c r="J30" i="6"/>
  <c r="K12" i="18"/>
  <c r="K11" i="18"/>
  <c r="O18" i="19"/>
  <c r="O28" i="19"/>
  <c r="W41" i="19"/>
  <c r="U52" i="19"/>
  <c r="W46" i="19"/>
  <c r="N11" i="16"/>
  <c r="K12" i="10"/>
  <c r="K29" i="10"/>
  <c r="I10" i="9"/>
  <c r="I12" i="8"/>
  <c r="J13" i="7"/>
  <c r="J30" i="7"/>
  <c r="H14" i="5"/>
  <c r="G12" i="3"/>
  <c r="J10" i="9"/>
  <c r="J27" i="9"/>
  <c r="I27" i="9"/>
  <c r="I14" i="5"/>
  <c r="I31" i="5"/>
  <c r="H31" i="5"/>
  <c r="J12" i="8"/>
  <c r="J28" i="8"/>
  <c r="I28" i="8"/>
  <c r="H12" i="3"/>
  <c r="H28" i="3"/>
  <c r="G28" i="3"/>
  <c r="H13" i="4"/>
  <c r="H30" i="4"/>
  <c r="G30" i="4"/>
  <c r="L31" i="2" l="1"/>
</calcChain>
</file>

<file path=xl/sharedStrings.xml><?xml version="1.0" encoding="utf-8"?>
<sst xmlns="http://schemas.openxmlformats.org/spreadsheetml/2006/main" count="1504" uniqueCount="416">
  <si>
    <t>DESIGNATION</t>
  </si>
  <si>
    <t>-</t>
  </si>
  <si>
    <t>LONGUEUR</t>
  </si>
  <si>
    <t>DU MUR</t>
  </si>
  <si>
    <t>LARGEUR</t>
  </si>
  <si>
    <t xml:space="preserve">NOMBRE </t>
  </si>
  <si>
    <t>DE BRIQUE</t>
  </si>
  <si>
    <t>DE LA PORTE</t>
  </si>
  <si>
    <t xml:space="preserve">LARGEUR  </t>
  </si>
  <si>
    <t>DE LA FENETRE</t>
  </si>
  <si>
    <t>DE PORTES</t>
  </si>
  <si>
    <t>DE FENETRES</t>
  </si>
  <si>
    <t xml:space="preserve">QUANTITE </t>
  </si>
  <si>
    <t>DE BRIQUES</t>
  </si>
  <si>
    <t>NOMBRE</t>
  </si>
  <si>
    <t>DE SAC</t>
  </si>
  <si>
    <t>EPAISSEUR</t>
  </si>
  <si>
    <t>D'ENDUIT</t>
  </si>
  <si>
    <t>DU POTEAU</t>
  </si>
  <si>
    <t>HAUTEUR</t>
  </si>
  <si>
    <t>DE POTEAUX</t>
  </si>
  <si>
    <t>DE LA POUTRE</t>
  </si>
  <si>
    <t>DE POUTRES</t>
  </si>
  <si>
    <t>DE LA POUTRELLE</t>
  </si>
  <si>
    <t>DE POUTRELLE</t>
  </si>
  <si>
    <t>DE LA SEMELLE</t>
  </si>
  <si>
    <t>DE SEMELLE</t>
  </si>
  <si>
    <t>DE LA DALLE</t>
  </si>
  <si>
    <t>D'OUVERTURE</t>
  </si>
  <si>
    <t>ESPACEMENT</t>
  </si>
  <si>
    <t>DE BARRE</t>
  </si>
  <si>
    <t>DE BOTTES</t>
  </si>
  <si>
    <t>TONNES</t>
  </si>
  <si>
    <t xml:space="preserve">DIAMETRE </t>
  </si>
  <si>
    <t>DU FER</t>
  </si>
  <si>
    <t>6 mm</t>
  </si>
  <si>
    <t>DU DE LA DALLE</t>
  </si>
  <si>
    <t>armatures longitudinales</t>
  </si>
  <si>
    <t>12 mm</t>
  </si>
  <si>
    <t>DE BARRES</t>
  </si>
  <si>
    <t>DE CADRES</t>
  </si>
  <si>
    <t>14 mm</t>
  </si>
  <si>
    <t>DE CADRE</t>
  </si>
  <si>
    <t>HAUTEUR SOUS</t>
  </si>
  <si>
    <t>PLAFOND</t>
  </si>
  <si>
    <t>Nb: toutes les unites sont en metre</t>
  </si>
  <si>
    <r>
      <t>V</t>
    </r>
    <r>
      <rPr>
        <b/>
        <sz val="16"/>
        <color theme="1"/>
        <rFont val="Calibri"/>
        <family val="2"/>
      </rPr>
      <t>↗</t>
    </r>
  </si>
  <si>
    <t>=</t>
  </si>
  <si>
    <t>Semelles filante</t>
  </si>
  <si>
    <t>Semelles isolees</t>
  </si>
  <si>
    <t>Poutre</t>
  </si>
  <si>
    <t>Poteaux</t>
  </si>
  <si>
    <t>Dalle de compression</t>
  </si>
  <si>
    <t>DE TONNES</t>
  </si>
  <si>
    <t>Poutrelle prefabriquee</t>
  </si>
  <si>
    <t xml:space="preserve"> Calcul de la quantite de ciment pour beton poutrelle prefabriquee</t>
  </si>
  <si>
    <t>Poutres</t>
  </si>
  <si>
    <t>Crepissage</t>
  </si>
  <si>
    <t>Maçonnerie</t>
  </si>
  <si>
    <t>DE L'ELEMENT</t>
  </si>
  <si>
    <t>QUANTITE</t>
  </si>
  <si>
    <t>DE CIMENT ( EN SAC)</t>
  </si>
  <si>
    <t>DE CIMENT ( EN TONNE)</t>
  </si>
  <si>
    <t>DE GRAVIER ( EN KG)</t>
  </si>
  <si>
    <t>DE SABLE ( EN KG)</t>
  </si>
  <si>
    <t>poutrelle prefabriquee</t>
  </si>
  <si>
    <t>poutrelle coulee in-situ</t>
  </si>
  <si>
    <t>semelle isolee</t>
  </si>
  <si>
    <t>Semelle filante</t>
  </si>
  <si>
    <t>Dalle pleine</t>
  </si>
  <si>
    <r>
      <t>DE GRAVIER ( EN M</t>
    </r>
    <r>
      <rPr>
        <b/>
        <vertAlign val="superscript"/>
        <sz val="16"/>
        <color theme="8"/>
        <rFont val="Agency FB"/>
        <family val="2"/>
      </rPr>
      <t>3</t>
    </r>
    <r>
      <rPr>
        <b/>
        <sz val="16"/>
        <color theme="8"/>
        <rFont val="Agency FB"/>
        <family val="2"/>
      </rPr>
      <t>)</t>
    </r>
  </si>
  <si>
    <r>
      <t>DE SABLE ( EN M</t>
    </r>
    <r>
      <rPr>
        <b/>
        <vertAlign val="superscript"/>
        <sz val="16"/>
        <color theme="8"/>
        <rFont val="Agency FB"/>
        <family val="2"/>
      </rPr>
      <t>3</t>
    </r>
    <r>
      <rPr>
        <b/>
        <sz val="16"/>
        <color theme="8"/>
        <rFont val="Agency FB"/>
        <family val="2"/>
      </rPr>
      <t>)</t>
    </r>
  </si>
  <si>
    <t>Hourdis</t>
  </si>
  <si>
    <t>ENTRE NUS</t>
  </si>
  <si>
    <t>D'HOURDIS</t>
  </si>
  <si>
    <t>16 mm</t>
  </si>
  <si>
    <t>10 mm</t>
  </si>
  <si>
    <t>8 mm</t>
  </si>
  <si>
    <t>Jointage agglos</t>
  </si>
  <si>
    <t>Plancher 16+4: Trame 1</t>
  </si>
  <si>
    <t>Plancher 16+4: Trame 2</t>
  </si>
  <si>
    <t>Plancher 16+4: Trame 3</t>
  </si>
  <si>
    <t>Plancher 16+4: Trame 4</t>
  </si>
  <si>
    <t>Plancher 16+4: Trame 5</t>
  </si>
  <si>
    <t>Plancher 16+4: Trame 6</t>
  </si>
  <si>
    <t>Plancher 16+4: Trame 7</t>
  </si>
  <si>
    <t>Plancher 16+4: Trame 8</t>
  </si>
  <si>
    <t>RESERVATION</t>
  </si>
  <si>
    <t>VOLUME</t>
  </si>
  <si>
    <t>DU BETON</t>
  </si>
  <si>
    <t>LARGUEUR</t>
  </si>
  <si>
    <t>DE POUTRE</t>
  </si>
  <si>
    <t xml:space="preserve">HAUTEUR </t>
  </si>
  <si>
    <t xml:space="preserve"> NUS DU TRAME</t>
  </si>
  <si>
    <t>LONGUEUR ENTRE</t>
  </si>
  <si>
    <t>LARGEUR ENTRE</t>
  </si>
  <si>
    <t xml:space="preserve"> AXE DE POUTRE</t>
  </si>
  <si>
    <t xml:space="preserve"> DE COPRESSION</t>
  </si>
  <si>
    <t>EPAISSEUR DALLE</t>
  </si>
  <si>
    <t xml:space="preserve"> CIMENT ( EN SAC)</t>
  </si>
  <si>
    <t>QUANTITE DE</t>
  </si>
  <si>
    <r>
      <t xml:space="preserve"> GRAVIER ( EN M</t>
    </r>
    <r>
      <rPr>
        <b/>
        <vertAlign val="superscript"/>
        <sz val="16"/>
        <color theme="8"/>
        <rFont val="Agency FB"/>
        <family val="2"/>
      </rPr>
      <t>3</t>
    </r>
    <r>
      <rPr>
        <b/>
        <sz val="16"/>
        <color theme="8"/>
        <rFont val="Agency FB"/>
        <family val="2"/>
      </rPr>
      <t>)</t>
    </r>
  </si>
  <si>
    <r>
      <t xml:space="preserve"> SABLE ( EN M</t>
    </r>
    <r>
      <rPr>
        <b/>
        <vertAlign val="superscript"/>
        <sz val="16"/>
        <color theme="8"/>
        <rFont val="Agency FB"/>
        <family val="2"/>
      </rPr>
      <t>3</t>
    </r>
    <r>
      <rPr>
        <b/>
        <sz val="16"/>
        <color theme="8"/>
        <rFont val="Agency FB"/>
        <family val="2"/>
      </rPr>
      <t>)</t>
    </r>
  </si>
  <si>
    <t xml:space="preserve"> CIMENT ( EN TONNE)</t>
  </si>
  <si>
    <t>SABLE ( EN KG)</t>
  </si>
  <si>
    <t xml:space="preserve">QUANTITE DE </t>
  </si>
  <si>
    <t xml:space="preserve">        Calcul du volume beton pour plancher a corps creux</t>
  </si>
  <si>
    <t xml:space="preserve"> GRAVIER ( EN T)</t>
  </si>
  <si>
    <t>Briques 20×40×Var :Mur 1</t>
  </si>
  <si>
    <t>Briques 20×40×Var :Mur 2</t>
  </si>
  <si>
    <t>Briques 20×40×Var :Mur 3</t>
  </si>
  <si>
    <t>Briques 20×40×Var :Mur 4</t>
  </si>
  <si>
    <t>Briques 20×40×Var :Mur 5</t>
  </si>
  <si>
    <t>Briques 20×40×Var :Mur 6</t>
  </si>
  <si>
    <t>Briques 20×40×Var :Mur 7</t>
  </si>
  <si>
    <t>Briques 20×40×Var :Mur 8</t>
  </si>
  <si>
    <t>Briques 20×40×Var :Mur 9</t>
  </si>
  <si>
    <t>Briques 20×40×Var :Mur 10</t>
  </si>
  <si>
    <t>Briques 20×40×Var :Mur 11</t>
  </si>
  <si>
    <t>Briques 20×40×Var :Mur 12</t>
  </si>
  <si>
    <t>Briques 20×40×Var :Mur 13</t>
  </si>
  <si>
    <t>Briques 20×40×Var :Mur 14</t>
  </si>
  <si>
    <t>Briques 20×40×Var :Mur 15</t>
  </si>
  <si>
    <t>Briques 20×40×Var :Mur 16</t>
  </si>
  <si>
    <t>Briques 20×40×Var :Mur 17</t>
  </si>
  <si>
    <t>Briques 20×40×Var :Mur 18</t>
  </si>
  <si>
    <t>Briques 20×40×Var :Mur 19</t>
  </si>
  <si>
    <t>Briques 20×40×Var :Mur 20</t>
  </si>
  <si>
    <t>Poteaux 1</t>
  </si>
  <si>
    <t>Poteaux 2</t>
  </si>
  <si>
    <t>Poteaux 3</t>
  </si>
  <si>
    <t>Poteaux 4</t>
  </si>
  <si>
    <t>Poteaux 5</t>
  </si>
  <si>
    <t>Poteaux 6</t>
  </si>
  <si>
    <t>Poteaux 7</t>
  </si>
  <si>
    <t>Poteaux 8</t>
  </si>
  <si>
    <t>Poutre 1</t>
  </si>
  <si>
    <t>Poutre 2</t>
  </si>
  <si>
    <t>Poutre 3</t>
  </si>
  <si>
    <t>Poutre 4</t>
  </si>
  <si>
    <t>Poutre 5</t>
  </si>
  <si>
    <t>Poutre 6</t>
  </si>
  <si>
    <t>Poutre 7</t>
  </si>
  <si>
    <t>Poutre 8</t>
  </si>
  <si>
    <t>Poutre 9</t>
  </si>
  <si>
    <t>Poutre 10</t>
  </si>
  <si>
    <t>Poutrelle 1</t>
  </si>
  <si>
    <t>Poutrelle 2</t>
  </si>
  <si>
    <t>Poutrelle 3</t>
  </si>
  <si>
    <t>Poutrelle 4</t>
  </si>
  <si>
    <t>Poutrelle 5</t>
  </si>
  <si>
    <t>Poutrelle 6</t>
  </si>
  <si>
    <t>Poutrelle 7</t>
  </si>
  <si>
    <t>Poutrelle 8</t>
  </si>
  <si>
    <t>Poutrelle 9</t>
  </si>
  <si>
    <t>Poutrelle 10</t>
  </si>
  <si>
    <t>Poutrelle prefabriquee 1</t>
  </si>
  <si>
    <t>Poutrelle prefabriquee 2</t>
  </si>
  <si>
    <t>Poutrelle prefabriquee 3</t>
  </si>
  <si>
    <t>Poutrelle prefabriquee 4</t>
  </si>
  <si>
    <t>Poutrelle prefabriquee 5</t>
  </si>
  <si>
    <t>Poutrelle prefabriquee 6</t>
  </si>
  <si>
    <t>Poutrelle prefabriquee 7</t>
  </si>
  <si>
    <t>Poutrelle prefabriquee 8</t>
  </si>
  <si>
    <t>Poutrelle prefabriquee 9</t>
  </si>
  <si>
    <t>Poutrelle prefabriquee 10</t>
  </si>
  <si>
    <t>Semelle isolee 1</t>
  </si>
  <si>
    <t>Semelle isolee 2</t>
  </si>
  <si>
    <t>Semelle isolee 3</t>
  </si>
  <si>
    <t>Semelle isolee 4</t>
  </si>
  <si>
    <t>Semelle isolee 5</t>
  </si>
  <si>
    <t>Semelle isolee 6</t>
  </si>
  <si>
    <t>Semelle isolee 7</t>
  </si>
  <si>
    <t>Semelle isolee 8</t>
  </si>
  <si>
    <t>Semelle isolee 9</t>
  </si>
  <si>
    <t>Semelle isolee 10</t>
  </si>
  <si>
    <t>Semelle filante 1</t>
  </si>
  <si>
    <t>Semelle filante 2</t>
  </si>
  <si>
    <t>Semelle filante 3</t>
  </si>
  <si>
    <t>Semelle filante 4</t>
  </si>
  <si>
    <t>Semelle filante 5</t>
  </si>
  <si>
    <t>Semelle filante 6</t>
  </si>
  <si>
    <t>Semelle filante 7</t>
  </si>
  <si>
    <t>Semelle filante 8</t>
  </si>
  <si>
    <t>Semelle filante 9</t>
  </si>
  <si>
    <t>Semelle filante 10</t>
  </si>
  <si>
    <t>Dalle pleine 1</t>
  </si>
  <si>
    <t>Dalle pleine 2</t>
  </si>
  <si>
    <t>Dalle pleine 3</t>
  </si>
  <si>
    <t>Dalle pleine 4</t>
  </si>
  <si>
    <t>Dalle pleine 5</t>
  </si>
  <si>
    <t>Dalle pleine 6</t>
  </si>
  <si>
    <t>Dalle pleine 7</t>
  </si>
  <si>
    <t>Dalle pleine 8</t>
  </si>
  <si>
    <t>Dalle pleine 9</t>
  </si>
  <si>
    <t>Dalle pleine 10</t>
  </si>
  <si>
    <t>Dalle de compression 1</t>
  </si>
  <si>
    <t>Dalle de compression 2</t>
  </si>
  <si>
    <t>Dalle de compression 3</t>
  </si>
  <si>
    <t>Dalle de compression 4</t>
  </si>
  <si>
    <t>Dalle de compression 5</t>
  </si>
  <si>
    <t>Dalle de compression 6</t>
  </si>
  <si>
    <t>Dalle de compression 7</t>
  </si>
  <si>
    <t>Dalle de compression 8</t>
  </si>
  <si>
    <t>Dalle de compression 9</t>
  </si>
  <si>
    <t>Dalle de compression 10</t>
  </si>
  <si>
    <t>Sac de ciment 50 kg: Mur 1</t>
  </si>
  <si>
    <t>Sac de ciment 50 kg: Mur 2</t>
  </si>
  <si>
    <t>Sac de ciment 50 kg: Mur 3</t>
  </si>
  <si>
    <t>Sac de ciment 50 kg: Mur 4</t>
  </si>
  <si>
    <t>Sac de ciment 50 kg: Mur 5</t>
  </si>
  <si>
    <t>Sac de ciment 50 kg: Mur 6</t>
  </si>
  <si>
    <t>Sac de ciment 50 kg: Mur 7</t>
  </si>
  <si>
    <t>Sac de ciment 50 kg: Mur 8</t>
  </si>
  <si>
    <t>Sac de ciment 50 kg: Mur 9</t>
  </si>
  <si>
    <t>Sac de ciment 50 kg: Mur 10</t>
  </si>
  <si>
    <t>Sac de ciment 50 kg: Mur 11</t>
  </si>
  <si>
    <t>Sac de ciment 50 kg: Mur 12</t>
  </si>
  <si>
    <t>Sac de ciment 50 kg: Mur 13</t>
  </si>
  <si>
    <t>Sac de ciment 50 kg: Mur 14</t>
  </si>
  <si>
    <t>Sac de ciment 50 kg: Mur 15</t>
  </si>
  <si>
    <t>Local,chambre,boutique ou couloir 1..etc</t>
  </si>
  <si>
    <t>Local,chambre,boutique ou couloir 2..etc</t>
  </si>
  <si>
    <t>TOTAUX</t>
  </si>
  <si>
    <t>Sac de ciment 50 kg : P1</t>
  </si>
  <si>
    <t>Sac de ciment 50 kg : P2</t>
  </si>
  <si>
    <t>Sac de ciment 50 kg : P3</t>
  </si>
  <si>
    <t>Sac de ciment 50 kg : P4</t>
  </si>
  <si>
    <t>Sac de ciment 50 kg : P5</t>
  </si>
  <si>
    <t>Sac de ciment 50 kg : P6</t>
  </si>
  <si>
    <t>Sac de ciment 50 kg : P7</t>
  </si>
  <si>
    <t>Sac de ciment 50 kg : P8</t>
  </si>
  <si>
    <t>Sac de ciment 50 kg : P9</t>
  </si>
  <si>
    <t>Sac de ciment 50 kg : P10</t>
  </si>
  <si>
    <t>Sac de ciment 50 kg : P11</t>
  </si>
  <si>
    <t>Sac de ciment 50 kg : P12</t>
  </si>
  <si>
    <t>Sac de ciment 50 kg : P13</t>
  </si>
  <si>
    <t>Sac de ciment 50 kg : P14</t>
  </si>
  <si>
    <t>Sac de ciment 50 kg : P15</t>
  </si>
  <si>
    <t>Sac de ciment 50 kg:Pt 1</t>
  </si>
  <si>
    <t>Sac de ciment 50 kg:Pt 2</t>
  </si>
  <si>
    <t>Sac de ciment 50 kg:Pt 3</t>
  </si>
  <si>
    <t>Sac de ciment 50 kg:Pt 4</t>
  </si>
  <si>
    <t>Sac de ciment 50 kg:Pt 5</t>
  </si>
  <si>
    <t>Sac de ciment 50 kg:Pt 6</t>
  </si>
  <si>
    <t>Sac de ciment 50 kg:Pt 7</t>
  </si>
  <si>
    <t>Sac de ciment 50 kg:Pt 8</t>
  </si>
  <si>
    <t>Sac de ciment 50 kg:Pt 9</t>
  </si>
  <si>
    <t>Sac de ciment 50 kg:Pt 10</t>
  </si>
  <si>
    <t>Sac de ciment 50 kg:Pt 11</t>
  </si>
  <si>
    <t>Sac de ciment 50 kg:Pt 12</t>
  </si>
  <si>
    <t>Sac de ciment 50 kg:Pt 13</t>
  </si>
  <si>
    <t>Sac de ciment 50 kg:Pt 14</t>
  </si>
  <si>
    <t>Sac de ciment 50 kg:Pt 15</t>
  </si>
  <si>
    <t>Sac de ciment 50 kg :ptrf 1</t>
  </si>
  <si>
    <t>Sac de ciment 50 kg :ptrf 2</t>
  </si>
  <si>
    <t>Sac de ciment 50 kg :ptrf 3</t>
  </si>
  <si>
    <t>Sac de ciment 50 kg :ptrf 4</t>
  </si>
  <si>
    <t>Sac de ciment 50 kg :ptrf 5</t>
  </si>
  <si>
    <t>Sac de ciment 50 kg :ptrf 6</t>
  </si>
  <si>
    <t>Sac de ciment 50 kg :ptrf 7</t>
  </si>
  <si>
    <t>Sac de ciment 50 kg :ptrf 8</t>
  </si>
  <si>
    <t>Sac de ciment 50 kg :ptrf 9</t>
  </si>
  <si>
    <t>Sac de ciment 50 kg :ptrf 10</t>
  </si>
  <si>
    <t>Sac de ciment 50 kg :ptrf 11</t>
  </si>
  <si>
    <t>Sac de ciment 50 kg :ptrf 12</t>
  </si>
  <si>
    <t>Sac de ciment 50 kg :ptrf 13</t>
  </si>
  <si>
    <t>Sac de ciment 50 kg :ptrf 14</t>
  </si>
  <si>
    <t>Sac de ciment 50 kg :ptrf 15</t>
  </si>
  <si>
    <t>Sac de ciment 50 kg : S1</t>
  </si>
  <si>
    <t>Sac de ciment 50 kg : S2</t>
  </si>
  <si>
    <t>Sac de ciment 50 kg : S3</t>
  </si>
  <si>
    <t>Sac de ciment 50 kg : S4</t>
  </si>
  <si>
    <t>Sac de ciment 50 kg : S5</t>
  </si>
  <si>
    <t>Sac de ciment 50 kg : S6</t>
  </si>
  <si>
    <t>Sac de ciment 50 kg : S7</t>
  </si>
  <si>
    <t>Sac de ciment 50 kg : S8</t>
  </si>
  <si>
    <t>Sac de ciment 50 kg : S9</t>
  </si>
  <si>
    <t>Sac de ciment 50 kg : S10</t>
  </si>
  <si>
    <t>Sac de ciment 50 kg : S11</t>
  </si>
  <si>
    <t>Sac de ciment 50 kg : S12</t>
  </si>
  <si>
    <t>Sac de ciment 50 kg : S13</t>
  </si>
  <si>
    <t>Sac de ciment 50 kg : S14</t>
  </si>
  <si>
    <t>Sac de ciment 50 kg : S15</t>
  </si>
  <si>
    <t>Sac de ciment 50 kg :Dalle 1</t>
  </si>
  <si>
    <t>Sac de ciment 50 kg :Dalle 2</t>
  </si>
  <si>
    <t>Sac de ciment 50 kg :Dalle 3</t>
  </si>
  <si>
    <t>Sac de ciment 50 kg :Dalle 4</t>
  </si>
  <si>
    <t>Sac de ciment 50 kg :Dalle 5</t>
  </si>
  <si>
    <t>Sac de ciment 50 kg :Dalle 6</t>
  </si>
  <si>
    <t>Sac de ciment 50 kg :Dalle 7</t>
  </si>
  <si>
    <t>Sac de ciment 50 kg :Dalle 8</t>
  </si>
  <si>
    <t>Sac de ciment 50 kg :Dalle 9</t>
  </si>
  <si>
    <t>Sac de ciment 50 kg :Dalle 10</t>
  </si>
  <si>
    <t>Sac de ciment 50 kg :Dalle 11</t>
  </si>
  <si>
    <t>Sac de ciment 50 kg :Dalle 12</t>
  </si>
  <si>
    <t>Sac de ciment 50 kg :Dalle 13</t>
  </si>
  <si>
    <t>Sac de ciment 50 kg :Dalle 14</t>
  </si>
  <si>
    <t>Sac de ciment 50 kg :Dalle 15</t>
  </si>
  <si>
    <t>armatures: Dalle 1</t>
  </si>
  <si>
    <t>armatures: Dalle 2</t>
  </si>
  <si>
    <t>armatures: Dalle 3</t>
  </si>
  <si>
    <t>armatures: Dalle 4</t>
  </si>
  <si>
    <t>armatures: Dalle 5</t>
  </si>
  <si>
    <t>armatures: Dalle 6</t>
  </si>
  <si>
    <t>armatures: Dalle 7</t>
  </si>
  <si>
    <t>armatures: Dalle 8</t>
  </si>
  <si>
    <t>armatures: Dalle 9</t>
  </si>
  <si>
    <t>armatures: Dalle 10</t>
  </si>
  <si>
    <t>armatures: Dalle 11</t>
  </si>
  <si>
    <t>armatures: Dalle 12</t>
  </si>
  <si>
    <t>armatures: Dalle 13</t>
  </si>
  <si>
    <t>armatures: Dalle 14</t>
  </si>
  <si>
    <t>armatures: Dalle 15</t>
  </si>
  <si>
    <t>NOMBRE DE</t>
  </si>
  <si>
    <t>COUPES/BARRE</t>
  </si>
  <si>
    <t>ARRONDI</t>
  </si>
  <si>
    <t>INF DE COUPES</t>
  </si>
  <si>
    <t>LONGUEUR DE</t>
  </si>
  <si>
    <t>CHUTE DE FER</t>
  </si>
  <si>
    <t>POURCENTAGE</t>
  </si>
  <si>
    <t>DE CHUTES</t>
  </si>
  <si>
    <t>20 mm</t>
  </si>
  <si>
    <t>25 mm</t>
  </si>
  <si>
    <t>armatures transfersales: CAD</t>
  </si>
  <si>
    <t>armatures transfersales: EPIN</t>
  </si>
  <si>
    <t>DU POUTRE</t>
  </si>
  <si>
    <r>
      <t xml:space="preserve">D'EPINGLE </t>
    </r>
    <r>
      <rPr>
        <b/>
        <sz val="16"/>
        <color rgb="FFFF0000"/>
        <rFont val="Agency FB"/>
        <family val="2"/>
      </rPr>
      <t>X</t>
    </r>
  </si>
  <si>
    <r>
      <t xml:space="preserve">D'EPINGLE </t>
    </r>
    <r>
      <rPr>
        <b/>
        <sz val="16"/>
        <color rgb="FFFF0000"/>
        <rFont val="Agency FB"/>
        <family val="2"/>
      </rPr>
      <t>Y</t>
    </r>
  </si>
  <si>
    <t>Semelles filante 1</t>
  </si>
  <si>
    <t>Semelles filante 2</t>
  </si>
  <si>
    <t>Semelles filante 3</t>
  </si>
  <si>
    <t>Semelles filante 4</t>
  </si>
  <si>
    <t>Semelles filante 5</t>
  </si>
  <si>
    <t>DE GRAVIER ( EN TONNE)</t>
  </si>
  <si>
    <t>DE SABLE ( EN TONNE)</t>
  </si>
  <si>
    <t>Calcul de la quantite de briques</t>
  </si>
  <si>
    <t>Calcul de la quantite de ciment pour jointage d'agglos</t>
  </si>
  <si>
    <t>Calcul de la quantite de ciment pour poutre</t>
  </si>
  <si>
    <t>Calcul de la quantite de ciment pour  beton semelle isolee</t>
  </si>
  <si>
    <t>Calcul de la quantite de ciment pour beton dalle de compression</t>
  </si>
  <si>
    <t>Calcul de la quantite de fer pour dalle de compression</t>
  </si>
  <si>
    <t>Calcul de la quantite de fer pour poteaux</t>
  </si>
  <si>
    <t>Calcul de la quantite de fer pour semelle filante</t>
  </si>
  <si>
    <t>HA 10</t>
  </si>
  <si>
    <t>HA 14</t>
  </si>
  <si>
    <t>HA 16</t>
  </si>
  <si>
    <t>HA 20</t>
  </si>
  <si>
    <t>HA 12</t>
  </si>
  <si>
    <t>TOTAL CUMULEE</t>
  </si>
  <si>
    <t>Calcul de granulats et ciment</t>
  </si>
  <si>
    <t>Poutrelle 1 :Armatures longitudinales</t>
  </si>
  <si>
    <r>
      <t>Poutrelle 1 :</t>
    </r>
    <r>
      <rPr>
        <i/>
        <sz val="16"/>
        <color theme="1"/>
        <rFont val="Agency FB"/>
        <family val="2"/>
      </rPr>
      <t>Armatures Transfersales</t>
    </r>
  </si>
  <si>
    <r>
      <t>Poutrelle 3 :</t>
    </r>
    <r>
      <rPr>
        <i/>
        <sz val="16"/>
        <color theme="1"/>
        <rFont val="Agency FB"/>
        <family val="2"/>
      </rPr>
      <t>Armatures Transfersales</t>
    </r>
  </si>
  <si>
    <t>D'ETRIER</t>
  </si>
  <si>
    <t>D'ETRIERS</t>
  </si>
  <si>
    <t>Poutrelle</t>
  </si>
  <si>
    <r>
      <t>Poutrelle 2 :</t>
    </r>
    <r>
      <rPr>
        <i/>
        <sz val="16"/>
        <color theme="1"/>
        <rFont val="Agency FB"/>
        <family val="2"/>
      </rPr>
      <t>Armatures Transfersales</t>
    </r>
  </si>
  <si>
    <t>Poutrelle 2 :Armatures longitudinales</t>
  </si>
  <si>
    <t>Poutrelle 3 :Armatures longitudinales</t>
  </si>
  <si>
    <t>D'ENTREVOUS</t>
  </si>
  <si>
    <t xml:space="preserve">NOMBRE DE </t>
  </si>
  <si>
    <t>POUTRELLE IDENTIQUES</t>
  </si>
  <si>
    <t>HA 6</t>
  </si>
  <si>
    <t>HA 8</t>
  </si>
  <si>
    <t>Calcul de granulats et ciment pour poteaux</t>
  </si>
  <si>
    <t>Calcul de granulats et ciment pour poutre</t>
  </si>
  <si>
    <t>Calcul de granulats et ciment pour poutrelle prefabriquee</t>
  </si>
  <si>
    <t>Calcul de granulats et ciment pour poutrelle coulee sur place</t>
  </si>
  <si>
    <t>Calcul de granulats et ciment pour semelle isolee</t>
  </si>
  <si>
    <t>Calcul de granulats et ciment pour semelle filante</t>
  </si>
  <si>
    <t xml:space="preserve">  Calcul de granulats et ciment pour dalle pleine</t>
  </si>
  <si>
    <t xml:space="preserve"> Calcul de granulats et ciment pour dalle de compression</t>
  </si>
  <si>
    <t>Calcul de la quantite d'entrevous pour plancher corps creux</t>
  </si>
  <si>
    <t>Calcul de la quantite de ciment pour poteaux</t>
  </si>
  <si>
    <t>Calcul de la quantite de ciment pour enduit</t>
  </si>
  <si>
    <t>armatures: Dalle pleine 1</t>
  </si>
  <si>
    <t>armatures: Dalle pleine 6</t>
  </si>
  <si>
    <t>armatures: Dalle pleine 7</t>
  </si>
  <si>
    <t>armatures: Dalle pleine 8</t>
  </si>
  <si>
    <t>armatures: Dalle pleine 9</t>
  </si>
  <si>
    <t>armatures: Dalle pleine 11</t>
  </si>
  <si>
    <t>armatures: Dalle pleine 12</t>
  </si>
  <si>
    <t>armatures: Dalle pleine 13</t>
  </si>
  <si>
    <t>armatures: Dalle pleine 14</t>
  </si>
  <si>
    <t>Calcul de la quantite de fer pour dalle pleine</t>
  </si>
  <si>
    <t>DE POUTRELLE PREFA</t>
  </si>
  <si>
    <t>DE DALLE</t>
  </si>
  <si>
    <t>LONGUEUR CUMULEE</t>
  </si>
  <si>
    <t>LARGEUR CUMULEE</t>
  </si>
  <si>
    <t>Calcul de la quantite de fer pour poutre</t>
  </si>
  <si>
    <t>Calcul de la quantite de fer pour semelle isolee</t>
  </si>
  <si>
    <t>BARRE LONGITUDINALES</t>
  </si>
  <si>
    <t>DE BARRE TRANSFERSALES</t>
  </si>
  <si>
    <t>NB:la valeur de la hauteur du poteau doit etre obligatoirement inferieur a 12 m</t>
  </si>
  <si>
    <t>NB:la valeur de la longueur du poutre doit etre obligatoirement inferieur a 12 m</t>
  </si>
  <si>
    <t>NB:la valeur de la longueur du poutrelle doit etre obligatoirement inferieur a 12 m</t>
  </si>
  <si>
    <t>NB:la valeur de la somme de la longueur et la largeur de la semelle  doit etre obligatoirement inferieur a 12 m</t>
  </si>
  <si>
    <t>LARGEUR  CUMULEE</t>
  </si>
  <si>
    <r>
      <t xml:space="preserve">NB:Inserer les valeurs dans les colonnes </t>
    </r>
    <r>
      <rPr>
        <b/>
        <sz val="18"/>
        <color rgb="FFFF0000"/>
        <rFont val="Garamond"/>
        <family val="1"/>
      </rPr>
      <t>H-I-J-K-L-M-N-Q-R-</t>
    </r>
    <r>
      <rPr>
        <b/>
        <sz val="18"/>
        <color theme="1"/>
        <rFont val="Garamond"/>
        <family val="1"/>
      </rPr>
      <t xml:space="preserve"> et </t>
    </r>
    <r>
      <rPr>
        <b/>
        <sz val="18"/>
        <color rgb="FFFF0000"/>
        <rFont val="Garamond"/>
        <family val="1"/>
      </rPr>
      <t>S</t>
    </r>
  </si>
  <si>
    <r>
      <t xml:space="preserve">NB:Inserer les valeurs dans les colonnes </t>
    </r>
    <r>
      <rPr>
        <b/>
        <sz val="18"/>
        <color rgb="FFFF0000"/>
        <rFont val="Garamond"/>
        <family val="1"/>
      </rPr>
      <t xml:space="preserve">H-I-J </t>
    </r>
    <r>
      <rPr>
        <b/>
        <sz val="18"/>
        <rFont val="Garamond"/>
        <family val="1"/>
      </rPr>
      <t>et</t>
    </r>
    <r>
      <rPr>
        <b/>
        <sz val="18"/>
        <color rgb="FFFF0000"/>
        <rFont val="Garamond"/>
        <family val="1"/>
      </rPr>
      <t xml:space="preserve"> K</t>
    </r>
  </si>
  <si>
    <r>
      <t xml:space="preserve">NB:Inserer les valeurs dans les colonnes </t>
    </r>
    <r>
      <rPr>
        <b/>
        <sz val="20"/>
        <color rgb="FFFF0000"/>
        <rFont val="Garamond"/>
        <family val="1"/>
      </rPr>
      <t xml:space="preserve">H-I-J </t>
    </r>
    <r>
      <rPr>
        <b/>
        <sz val="20"/>
        <rFont val="Garamond"/>
        <family val="1"/>
      </rPr>
      <t>et</t>
    </r>
    <r>
      <rPr>
        <b/>
        <sz val="20"/>
        <color rgb="FFFF0000"/>
        <rFont val="Garamond"/>
        <family val="1"/>
      </rPr>
      <t xml:space="preserve"> K</t>
    </r>
  </si>
  <si>
    <r>
      <t xml:space="preserve">NB:Inserer les valeurs dans les colonnes </t>
    </r>
    <r>
      <rPr>
        <b/>
        <sz val="16"/>
        <color rgb="FFFF0000"/>
        <rFont val="Garamond"/>
        <family val="1"/>
      </rPr>
      <t>D-E-F-G-H-I-J</t>
    </r>
    <r>
      <rPr>
        <b/>
        <sz val="16"/>
        <color theme="1"/>
        <rFont val="Garamond"/>
        <family val="1"/>
      </rPr>
      <t xml:space="preserve"> et </t>
    </r>
    <r>
      <rPr>
        <b/>
        <sz val="16"/>
        <color rgb="FFFF0000"/>
        <rFont val="Garamond"/>
        <family val="1"/>
      </rPr>
      <t>K</t>
    </r>
  </si>
  <si>
    <r>
      <t xml:space="preserve">NB:Inserer les valeurs dans les colonnes </t>
    </r>
    <r>
      <rPr>
        <b/>
        <sz val="16"/>
        <color rgb="FFFF0000"/>
        <rFont val="Garamond"/>
        <family val="1"/>
      </rPr>
      <t xml:space="preserve">D </t>
    </r>
    <r>
      <rPr>
        <b/>
        <sz val="16"/>
        <rFont val="Garamond"/>
        <family val="1"/>
      </rPr>
      <t>et</t>
    </r>
    <r>
      <rPr>
        <b/>
        <sz val="16"/>
        <color rgb="FFFF0000"/>
        <rFont val="Garamond"/>
        <family val="1"/>
      </rPr>
      <t xml:space="preserve"> E</t>
    </r>
  </si>
  <si>
    <r>
      <t xml:space="preserve">NB:Inserer les valeurs dans les colonnes </t>
    </r>
    <r>
      <rPr>
        <b/>
        <sz val="16"/>
        <color rgb="FFFF0000"/>
        <rFont val="Garamond"/>
        <family val="1"/>
      </rPr>
      <t xml:space="preserve">D-E </t>
    </r>
    <r>
      <rPr>
        <b/>
        <sz val="16"/>
        <rFont val="Garamond"/>
        <family val="1"/>
      </rPr>
      <t>et</t>
    </r>
    <r>
      <rPr>
        <b/>
        <sz val="16"/>
        <color rgb="FFFF0000"/>
        <rFont val="Garamond"/>
        <family val="1"/>
      </rPr>
      <t xml:space="preserve"> F</t>
    </r>
  </si>
  <si>
    <r>
      <t xml:space="preserve">NB:Inserer les valeurs dans les colonnes </t>
    </r>
    <r>
      <rPr>
        <b/>
        <sz val="16"/>
        <color rgb="FFFF0000"/>
        <rFont val="Garamond"/>
        <family val="1"/>
      </rPr>
      <t>D-E-F</t>
    </r>
    <r>
      <rPr>
        <b/>
        <sz val="16"/>
        <rFont val="Garamond"/>
        <family val="1"/>
      </rPr>
      <t xml:space="preserve"> et</t>
    </r>
    <r>
      <rPr>
        <b/>
        <sz val="16"/>
        <color rgb="FFFF0000"/>
        <rFont val="Garamond"/>
        <family val="1"/>
      </rPr>
      <t xml:space="preserve"> G</t>
    </r>
  </si>
  <si>
    <r>
      <t xml:space="preserve">NB:Inserer les valeurs dans les colonnes </t>
    </r>
    <r>
      <rPr>
        <b/>
        <sz val="16"/>
        <color rgb="FFFF0000"/>
        <rFont val="Garamond"/>
        <family val="1"/>
      </rPr>
      <t>E-F-G</t>
    </r>
    <r>
      <rPr>
        <b/>
        <sz val="16"/>
        <rFont val="Garamond"/>
        <family val="1"/>
      </rPr>
      <t xml:space="preserve"> et</t>
    </r>
    <r>
      <rPr>
        <b/>
        <sz val="16"/>
        <color rgb="FFFF0000"/>
        <rFont val="Garamond"/>
        <family val="1"/>
      </rPr>
      <t xml:space="preserve"> H</t>
    </r>
  </si>
  <si>
    <r>
      <t xml:space="preserve">NB:Inserer les valeurs dans les colonnes </t>
    </r>
    <r>
      <rPr>
        <b/>
        <sz val="16"/>
        <color rgb="FFFF0000"/>
        <rFont val="Garamond"/>
        <family val="1"/>
      </rPr>
      <t>D</t>
    </r>
    <r>
      <rPr>
        <b/>
        <sz val="16"/>
        <color theme="1"/>
        <rFont val="Garamond"/>
        <family val="1"/>
      </rPr>
      <t>-</t>
    </r>
    <r>
      <rPr>
        <b/>
        <sz val="16"/>
        <color rgb="FFFF0000"/>
        <rFont val="Garamond"/>
        <family val="1"/>
      </rPr>
      <t>E-F-G</t>
    </r>
    <r>
      <rPr>
        <b/>
        <sz val="16"/>
        <rFont val="Garamond"/>
        <family val="1"/>
      </rPr>
      <t xml:space="preserve"> et</t>
    </r>
    <r>
      <rPr>
        <b/>
        <sz val="16"/>
        <color rgb="FFFF0000"/>
        <rFont val="Garamond"/>
        <family val="1"/>
      </rPr>
      <t xml:space="preserve"> H</t>
    </r>
  </si>
  <si>
    <r>
      <t xml:space="preserve">NB:Inserer les valeurs dans les colonnes </t>
    </r>
    <r>
      <rPr>
        <b/>
        <sz val="16"/>
        <color rgb="FFFF0000"/>
        <rFont val="Garamond"/>
        <family val="1"/>
      </rPr>
      <t xml:space="preserve">E-F-G-H </t>
    </r>
    <r>
      <rPr>
        <b/>
        <sz val="16"/>
        <rFont val="Garamond"/>
        <family val="1"/>
      </rPr>
      <t>et</t>
    </r>
    <r>
      <rPr>
        <b/>
        <sz val="16"/>
        <color rgb="FFFF0000"/>
        <rFont val="Garamond"/>
        <family val="1"/>
      </rPr>
      <t xml:space="preserve"> I</t>
    </r>
  </si>
  <si>
    <r>
      <t xml:space="preserve">NB:Inserer les valeurs dans les colonnes </t>
    </r>
    <r>
      <rPr>
        <b/>
        <sz val="16"/>
        <color rgb="FFFF0000"/>
        <rFont val="Garamond"/>
        <family val="1"/>
      </rPr>
      <t xml:space="preserve">E-F-G-H-I-K-L-P </t>
    </r>
    <r>
      <rPr>
        <b/>
        <sz val="16"/>
        <rFont val="Garamond"/>
        <family val="1"/>
      </rPr>
      <t>et</t>
    </r>
    <r>
      <rPr>
        <b/>
        <sz val="16"/>
        <color rgb="FFFF0000"/>
        <rFont val="Garamond"/>
        <family val="1"/>
      </rPr>
      <t xml:space="preserve"> Q</t>
    </r>
  </si>
  <si>
    <r>
      <t xml:space="preserve">NB:Inserer les valeurs dans les colonnes </t>
    </r>
    <r>
      <rPr>
        <b/>
        <sz val="16"/>
        <color rgb="FFFF0000"/>
        <rFont val="Garamond"/>
        <family val="1"/>
      </rPr>
      <t xml:space="preserve">E-F-H-J-K- </t>
    </r>
    <r>
      <rPr>
        <b/>
        <sz val="16"/>
        <rFont val="Garamond"/>
        <family val="1"/>
      </rPr>
      <t>et</t>
    </r>
    <r>
      <rPr>
        <b/>
        <sz val="16"/>
        <color rgb="FFFF0000"/>
        <rFont val="Garamond"/>
        <family val="1"/>
      </rPr>
      <t xml:space="preserve"> P</t>
    </r>
  </si>
  <si>
    <t>DU LONGRINE</t>
  </si>
  <si>
    <t>Calcul de la quantite de fer pour longrine</t>
  </si>
  <si>
    <r>
      <t xml:space="preserve">NB:Inserer les valeurs dans les colonnes </t>
    </r>
    <r>
      <rPr>
        <b/>
        <sz val="16"/>
        <color rgb="FFFF0000"/>
        <rFont val="Garamond"/>
        <family val="1"/>
      </rPr>
      <t xml:space="preserve">E-F-G </t>
    </r>
    <r>
      <rPr>
        <b/>
        <sz val="16"/>
        <rFont val="Garamond"/>
        <family val="1"/>
      </rPr>
      <t>et</t>
    </r>
    <r>
      <rPr>
        <b/>
        <sz val="16"/>
        <color rgb="FFFF0000"/>
        <rFont val="Garamond"/>
        <family val="1"/>
      </rPr>
      <t xml:space="preserve"> H</t>
    </r>
  </si>
  <si>
    <r>
      <t xml:space="preserve">NB:Inserer les valeurs dans les colonnes </t>
    </r>
    <r>
      <rPr>
        <b/>
        <sz val="16"/>
        <color rgb="FFFF0000"/>
        <rFont val="Garamond"/>
        <family val="1"/>
      </rPr>
      <t>E-F-G-H</t>
    </r>
    <r>
      <rPr>
        <b/>
        <sz val="16"/>
        <rFont val="Garamond"/>
        <family val="1"/>
      </rPr>
      <t xml:space="preserve"> et</t>
    </r>
    <r>
      <rPr>
        <b/>
        <sz val="16"/>
        <color rgb="FFFF0000"/>
        <rFont val="Garamond"/>
        <family val="1"/>
      </rPr>
      <t xml:space="preserve"> I</t>
    </r>
  </si>
  <si>
    <t>Calcul de la quantite de fer pour poutrelle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</si>
</sst>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4" x14ac:knownFonts="1">
    <font>
      <sz val="11"/>
      <color theme="1"/>
      <name val="Calibri"/>
      <family val="2"/>
      <scheme val="minor"/>
    </font>
    <font>
      <sz val="16"/>
      <color theme="1"/>
      <name val="Agency FB"/>
      <family val="2"/>
    </font>
    <font>
      <b/>
      <sz val="16"/>
      <color theme="1"/>
      <name val="Agency FB"/>
      <family val="2"/>
    </font>
    <font>
      <sz val="16"/>
      <color rgb="FFFF0000"/>
      <name val="Agency FB"/>
      <family val="2"/>
    </font>
    <font>
      <i/>
      <sz val="16"/>
      <color rgb="FFFF0000"/>
      <name val="Agency FB"/>
      <family val="2"/>
    </font>
    <font>
      <b/>
      <sz val="16"/>
      <color rgb="FFFF0000"/>
      <name val="Agency FB"/>
      <family val="2"/>
    </font>
    <font>
      <i/>
      <u val="double"/>
      <sz val="16"/>
      <color theme="1"/>
      <name val="Agency FB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i/>
      <sz val="11"/>
      <color rgb="FFFF0000"/>
      <name val="Garamond"/>
      <family val="1"/>
    </font>
    <font>
      <b/>
      <sz val="16"/>
      <color theme="4"/>
      <name val="Agency FB"/>
      <family val="2"/>
    </font>
    <font>
      <b/>
      <sz val="16"/>
      <color rgb="FF00B050"/>
      <name val="Agency FB"/>
      <family val="2"/>
    </font>
    <font>
      <b/>
      <sz val="16"/>
      <color rgb="FF0070C0"/>
      <name val="Agency FB"/>
      <family val="2"/>
    </font>
    <font>
      <b/>
      <i/>
      <sz val="14"/>
      <color rgb="FFFF0000"/>
      <name val="Garamond"/>
      <family val="1"/>
    </font>
    <font>
      <b/>
      <sz val="16"/>
      <color theme="8"/>
      <name val="Agency FB"/>
      <family val="2"/>
    </font>
    <font>
      <b/>
      <vertAlign val="superscript"/>
      <sz val="16"/>
      <color theme="8"/>
      <name val="Agency FB"/>
      <family val="2"/>
    </font>
    <font>
      <b/>
      <i/>
      <sz val="24"/>
      <color rgb="FFFF0000"/>
      <name val="Garamond"/>
      <family val="1"/>
    </font>
    <font>
      <i/>
      <u val="double"/>
      <sz val="24"/>
      <color theme="1"/>
      <name val="Agency FB"/>
      <family val="2"/>
    </font>
    <font>
      <b/>
      <i/>
      <sz val="20"/>
      <color rgb="FFFF0000"/>
      <name val="Agency FB"/>
      <family val="2"/>
    </font>
    <font>
      <b/>
      <sz val="18"/>
      <color theme="1"/>
      <name val="Agency FB"/>
      <family val="2"/>
    </font>
    <font>
      <b/>
      <sz val="18"/>
      <color rgb="FF00B0F0"/>
      <name val="Agency FB"/>
      <family val="2"/>
    </font>
    <font>
      <b/>
      <sz val="24"/>
      <color rgb="FFFF0000"/>
      <name val="Agency FB"/>
      <family val="2"/>
    </font>
    <font>
      <b/>
      <sz val="24"/>
      <color theme="1"/>
      <name val="Agency FB"/>
      <family val="2"/>
    </font>
    <font>
      <b/>
      <sz val="24"/>
      <name val="Agency FB"/>
      <family val="2"/>
    </font>
    <font>
      <b/>
      <i/>
      <sz val="16"/>
      <color rgb="FFFF0000"/>
      <name val="Garamond"/>
      <family val="1"/>
    </font>
    <font>
      <b/>
      <i/>
      <sz val="18"/>
      <color rgb="FFFF0000"/>
      <name val="Garamond"/>
      <family val="1"/>
    </font>
    <font>
      <b/>
      <i/>
      <sz val="20"/>
      <color rgb="FFFF0000"/>
      <name val="Garamond"/>
      <family val="1"/>
    </font>
    <font>
      <i/>
      <u val="double"/>
      <sz val="18"/>
      <color theme="1"/>
      <name val="Agency FB"/>
      <family val="2"/>
    </font>
    <font>
      <i/>
      <u val="double"/>
      <sz val="20"/>
      <color theme="1"/>
      <name val="Agency FB"/>
      <family val="2"/>
    </font>
    <font>
      <b/>
      <i/>
      <sz val="12"/>
      <color rgb="FFFF0000"/>
      <name val="Garamond"/>
      <family val="1"/>
    </font>
    <font>
      <i/>
      <u val="double"/>
      <sz val="14"/>
      <color theme="1"/>
      <name val="Agency FB"/>
      <family val="2"/>
    </font>
    <font>
      <i/>
      <u val="double"/>
      <sz val="12"/>
      <color theme="1"/>
      <name val="Agency FB"/>
      <family val="2"/>
    </font>
    <font>
      <sz val="12"/>
      <color rgb="FFFF0000"/>
      <name val="Calibri"/>
      <family val="2"/>
      <scheme val="minor"/>
    </font>
    <font>
      <b/>
      <sz val="20"/>
      <color rgb="FFFF0000"/>
      <name val="Agency FB"/>
      <family val="2"/>
    </font>
    <font>
      <b/>
      <sz val="18"/>
      <color theme="1"/>
      <name val="Garamond"/>
      <family val="1"/>
    </font>
    <font>
      <i/>
      <sz val="16"/>
      <color theme="1"/>
      <name val="Agency FB"/>
      <family val="2"/>
    </font>
    <font>
      <sz val="14"/>
      <color rgb="FFFF0000"/>
      <name val="Calibri"/>
      <family val="2"/>
      <scheme val="minor"/>
    </font>
    <font>
      <b/>
      <i/>
      <sz val="14"/>
      <color theme="1"/>
      <name val="Garamond"/>
      <family val="1"/>
    </font>
    <font>
      <b/>
      <i/>
      <sz val="11"/>
      <color theme="1"/>
      <name val="Calibri"/>
      <family val="2"/>
      <scheme val="minor"/>
    </font>
    <font>
      <b/>
      <i/>
      <sz val="13"/>
      <color theme="1"/>
      <name val="Garamond"/>
      <family val="1"/>
    </font>
    <font>
      <b/>
      <i/>
      <sz val="13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8"/>
      <color rgb="FFFF0000"/>
      <name val="Garamond"/>
      <family val="1"/>
    </font>
    <font>
      <b/>
      <sz val="18"/>
      <color rgb="FFFF0000"/>
      <name val="Agency FB"/>
      <family val="2"/>
    </font>
    <font>
      <b/>
      <sz val="18"/>
      <color theme="1"/>
      <name val="Calibri"/>
      <family val="2"/>
      <scheme val="minor"/>
    </font>
    <font>
      <b/>
      <sz val="18"/>
      <name val="Garamond"/>
      <family val="1"/>
    </font>
    <font>
      <b/>
      <sz val="20"/>
      <color theme="1"/>
      <name val="Garamond"/>
      <family val="1"/>
    </font>
    <font>
      <b/>
      <sz val="20"/>
      <color rgb="FFFF0000"/>
      <name val="Garamond"/>
      <family val="1"/>
    </font>
    <font>
      <b/>
      <sz val="20"/>
      <name val="Garamond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Garamond"/>
      <family val="1"/>
    </font>
    <font>
      <b/>
      <sz val="16"/>
      <color rgb="FFFF0000"/>
      <name val="Garamond"/>
      <family val="1"/>
    </font>
    <font>
      <b/>
      <sz val="16"/>
      <name val="Garamond"/>
      <family val="1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5" xfId="0" applyBorder="1"/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1" fillId="4" borderId="0" xfId="0" applyFont="1" applyFill="1"/>
    <xf numFmtId="0" fontId="1" fillId="5" borderId="0" xfId="0" applyFont="1" applyFill="1"/>
    <xf numFmtId="0" fontId="6" fillId="6" borderId="0" xfId="0" applyFont="1" applyFill="1"/>
    <xf numFmtId="0" fontId="2" fillId="8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0" fillId="0" borderId="0" xfId="0" applyNumberFormat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9" fillId="9" borderId="0" xfId="0" applyFont="1" applyFill="1"/>
    <xf numFmtId="0" fontId="8" fillId="9" borderId="0" xfId="0" applyFont="1" applyFill="1"/>
    <xf numFmtId="16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9" fillId="11" borderId="0" xfId="0" applyFont="1" applyFill="1"/>
    <xf numFmtId="0" fontId="8" fillId="11" borderId="0" xfId="0" applyFont="1" applyFill="1"/>
    <xf numFmtId="0" fontId="2" fillId="5" borderId="0" xfId="0" applyFont="1" applyFill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12" fillId="13" borderId="3" xfId="0" applyFont="1" applyFill="1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2" fillId="13" borderId="0" xfId="0" applyFont="1" applyFill="1" applyBorder="1" applyAlignment="1">
      <alignment horizontal="center"/>
    </xf>
    <xf numFmtId="0" fontId="12" fillId="13" borderId="12" xfId="0" applyFont="1" applyFill="1" applyBorder="1" applyAlignment="1">
      <alignment horizontal="center"/>
    </xf>
    <xf numFmtId="164" fontId="5" fillId="9" borderId="13" xfId="0" applyNumberFormat="1" applyFont="1" applyFill="1" applyBorder="1" applyAlignment="1">
      <alignment horizontal="center" vertical="center"/>
    </xf>
    <xf numFmtId="0" fontId="12" fillId="13" borderId="15" xfId="0" applyFont="1" applyFill="1" applyBorder="1" applyAlignment="1">
      <alignment horizontal="center"/>
    </xf>
    <xf numFmtId="0" fontId="12" fillId="13" borderId="16" xfId="0" applyFont="1" applyFill="1" applyBorder="1" applyAlignment="1">
      <alignment horizontal="center"/>
    </xf>
    <xf numFmtId="0" fontId="11" fillId="13" borderId="7" xfId="0" applyFont="1" applyFill="1" applyBorder="1" applyAlignment="1">
      <alignment horizontal="center"/>
    </xf>
    <xf numFmtId="0" fontId="11" fillId="13" borderId="6" xfId="0" applyFont="1" applyFill="1" applyBorder="1" applyAlignment="1">
      <alignment horizontal="center"/>
    </xf>
    <xf numFmtId="0" fontId="11" fillId="13" borderId="3" xfId="0" applyFont="1" applyFill="1" applyBorder="1" applyAlignment="1">
      <alignment horizontal="center"/>
    </xf>
    <xf numFmtId="0" fontId="13" fillId="11" borderId="0" xfId="0" applyFont="1" applyFill="1"/>
    <xf numFmtId="0" fontId="5" fillId="12" borderId="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164" fontId="10" fillId="10" borderId="1" xfId="0" applyNumberFormat="1" applyFont="1" applyFill="1" applyBorder="1" applyAlignment="1">
      <alignment horizontal="center" vertical="center"/>
    </xf>
    <xf numFmtId="2" fontId="5" fillId="12" borderId="1" xfId="0" applyNumberFormat="1" applyFont="1" applyFill="1" applyBorder="1" applyAlignment="1">
      <alignment horizontal="center" vertical="center"/>
    </xf>
    <xf numFmtId="2" fontId="10" fillId="1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64" fontId="0" fillId="0" borderId="0" xfId="0" applyNumberFormat="1"/>
    <xf numFmtId="0" fontId="1" fillId="7" borderId="1" xfId="0" applyFont="1" applyFill="1" applyBorder="1" applyAlignment="1" applyProtection="1">
      <alignment horizontal="center" vertical="center"/>
      <protection locked="0"/>
    </xf>
    <xf numFmtId="0" fontId="5" fillId="14" borderId="7" xfId="0" applyFont="1" applyFill="1" applyBorder="1" applyAlignment="1">
      <alignment horizontal="center"/>
    </xf>
    <xf numFmtId="0" fontId="5" fillId="14" borderId="6" xfId="0" applyFont="1" applyFill="1" applyBorder="1" applyAlignment="1">
      <alignment horizontal="center"/>
    </xf>
    <xf numFmtId="0" fontId="0" fillId="0" borderId="18" xfId="0" applyBorder="1"/>
    <xf numFmtId="0" fontId="16" fillId="11" borderId="0" xfId="0" applyFont="1" applyFill="1"/>
    <xf numFmtId="0" fontId="17" fillId="6" borderId="0" xfId="0" applyFont="1" applyFill="1"/>
    <xf numFmtId="0" fontId="1" fillId="0" borderId="19" xfId="0" applyFont="1" applyBorder="1"/>
    <xf numFmtId="2" fontId="18" fillId="11" borderId="1" xfId="0" applyNumberFormat="1" applyFont="1" applyFill="1" applyBorder="1" applyAlignment="1">
      <alignment horizontal="center" vertical="center"/>
    </xf>
    <xf numFmtId="2" fontId="19" fillId="12" borderId="1" xfId="0" applyNumberFormat="1" applyFont="1" applyFill="1" applyBorder="1" applyAlignment="1">
      <alignment horizontal="center" vertical="center"/>
    </xf>
    <xf numFmtId="2" fontId="20" fillId="1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2" fontId="1" fillId="0" borderId="1" xfId="0" applyNumberFormat="1" applyFont="1" applyBorder="1" applyAlignment="1" applyProtection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1" fillId="15" borderId="1" xfId="0" applyNumberFormat="1" applyFont="1" applyFill="1" applyBorder="1" applyAlignment="1">
      <alignment horizontal="center" vertical="center"/>
    </xf>
    <xf numFmtId="2" fontId="23" fillId="14" borderId="1" xfId="0" applyNumberFormat="1" applyFont="1" applyFill="1" applyBorder="1" applyAlignment="1">
      <alignment horizontal="center" vertical="center"/>
    </xf>
    <xf numFmtId="0" fontId="22" fillId="14" borderId="7" xfId="0" applyFont="1" applyFill="1" applyBorder="1" applyAlignment="1">
      <alignment horizontal="center" vertical="center"/>
    </xf>
    <xf numFmtId="0" fontId="22" fillId="14" borderId="7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164" fontId="5" fillId="14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 applyProtection="1">
      <alignment horizontal="center" vertical="center"/>
      <protection locked="0"/>
    </xf>
    <xf numFmtId="164" fontId="1" fillId="7" borderId="1" xfId="0" applyNumberFormat="1" applyFont="1" applyFill="1" applyBorder="1" applyAlignment="1" applyProtection="1">
      <alignment horizontal="center" vertical="center"/>
    </xf>
    <xf numFmtId="2" fontId="1" fillId="7" borderId="1" xfId="0" applyNumberFormat="1" applyFont="1" applyFill="1" applyBorder="1" applyAlignment="1" applyProtection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16" borderId="0" xfId="0" applyFont="1" applyFill="1" applyBorder="1" applyAlignment="1">
      <alignment horizontal="center" vertical="center"/>
    </xf>
    <xf numFmtId="0" fontId="5" fillId="16" borderId="2" xfId="0" applyFont="1" applyFill="1" applyBorder="1" applyAlignment="1">
      <alignment horizontal="center" vertical="center"/>
    </xf>
    <xf numFmtId="1" fontId="1" fillId="0" borderId="1" xfId="0" applyNumberFormat="1" applyFont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1" fontId="21" fillId="15" borderId="1" xfId="0" applyNumberFormat="1" applyFont="1" applyFill="1" applyBorder="1" applyAlignment="1">
      <alignment horizontal="center" vertical="center"/>
    </xf>
    <xf numFmtId="0" fontId="24" fillId="11" borderId="0" xfId="0" applyFont="1" applyFill="1"/>
    <xf numFmtId="0" fontId="25" fillId="11" borderId="0" xfId="0" applyFont="1" applyFill="1"/>
    <xf numFmtId="0" fontId="26" fillId="11" borderId="0" xfId="0" applyFont="1" applyFill="1"/>
    <xf numFmtId="0" fontId="27" fillId="6" borderId="0" xfId="0" applyFont="1" applyFill="1"/>
    <xf numFmtId="0" fontId="28" fillId="6" borderId="0" xfId="0" applyFont="1" applyFill="1"/>
    <xf numFmtId="0" fontId="26" fillId="11" borderId="0" xfId="0" applyFont="1" applyFill="1" applyAlignment="1"/>
    <xf numFmtId="0" fontId="29" fillId="11" borderId="0" xfId="0" applyFont="1" applyFill="1"/>
    <xf numFmtId="0" fontId="30" fillId="6" borderId="0" xfId="0" applyFont="1" applyFill="1"/>
    <xf numFmtId="0" fontId="31" fillId="6" borderId="0" xfId="0" applyFont="1" applyFill="1"/>
    <xf numFmtId="2" fontId="5" fillId="9" borderId="13" xfId="0" applyNumberFormat="1" applyFont="1" applyFill="1" applyBorder="1" applyAlignment="1">
      <alignment horizontal="center" vertical="center"/>
    </xf>
    <xf numFmtId="0" fontId="13" fillId="11" borderId="0" xfId="0" applyFont="1" applyFill="1" applyAlignment="1">
      <alignment horizontal="left"/>
    </xf>
    <xf numFmtId="2" fontId="5" fillId="9" borderId="1" xfId="0" applyNumberFormat="1" applyFont="1" applyFill="1" applyBorder="1" applyAlignment="1">
      <alignment horizontal="center" vertical="center"/>
    </xf>
    <xf numFmtId="0" fontId="29" fillId="9" borderId="0" xfId="0" applyFont="1" applyFill="1"/>
    <xf numFmtId="0" fontId="32" fillId="9" borderId="0" xfId="0" applyFont="1" applyFill="1"/>
    <xf numFmtId="2" fontId="33" fillId="15" borderId="1" xfId="0" applyNumberFormat="1" applyFont="1" applyFill="1" applyBorder="1" applyAlignment="1">
      <alignment horizontal="center" vertical="center"/>
    </xf>
    <xf numFmtId="2" fontId="33" fillId="15" borderId="17" xfId="0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7" borderId="0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7" borderId="20" xfId="0" applyFont="1" applyFill="1" applyBorder="1" applyAlignment="1" applyProtection="1">
      <alignment horizontal="center" vertical="center"/>
      <protection locked="0"/>
    </xf>
    <xf numFmtId="2" fontId="5" fillId="3" borderId="20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7" borderId="21" xfId="0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7" borderId="22" xfId="0" applyFont="1" applyFill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3" fillId="9" borderId="0" xfId="0" applyFont="1" applyFill="1"/>
    <xf numFmtId="0" fontId="2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7" borderId="24" xfId="0" applyFont="1" applyFill="1" applyBorder="1" applyAlignment="1" applyProtection="1">
      <alignment horizontal="center" vertical="center"/>
      <protection locked="0"/>
    </xf>
    <xf numFmtId="1" fontId="1" fillId="0" borderId="20" xfId="0" applyNumberFormat="1" applyFont="1" applyBorder="1" applyAlignment="1" applyProtection="1">
      <alignment horizontal="center" vertical="center"/>
      <protection locked="0"/>
    </xf>
    <xf numFmtId="0" fontId="36" fillId="9" borderId="0" xfId="0" applyFont="1" applyFill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16" borderId="20" xfId="0" applyFont="1" applyFill="1" applyBorder="1" applyAlignment="1">
      <alignment horizontal="center" vertical="center"/>
    </xf>
    <xf numFmtId="0" fontId="24" fillId="9" borderId="0" xfId="0" applyFont="1" applyFill="1"/>
    <xf numFmtId="0" fontId="0" fillId="0" borderId="22" xfId="0" applyBorder="1"/>
    <xf numFmtId="0" fontId="37" fillId="14" borderId="0" xfId="0" applyFont="1" applyFill="1"/>
    <xf numFmtId="0" fontId="38" fillId="14" borderId="0" xfId="0" applyFont="1" applyFill="1"/>
    <xf numFmtId="0" fontId="39" fillId="14" borderId="0" xfId="0" applyFont="1" applyFill="1"/>
    <xf numFmtId="0" fontId="40" fillId="14" borderId="0" xfId="0" applyFont="1" applyFill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1" fillId="0" borderId="0" xfId="0" applyFont="1"/>
    <xf numFmtId="0" fontId="43" fillId="17" borderId="0" xfId="0" applyFont="1" applyFill="1"/>
    <xf numFmtId="0" fontId="5" fillId="17" borderId="0" xfId="0" applyFont="1" applyFill="1"/>
    <xf numFmtId="0" fontId="34" fillId="17" borderId="0" xfId="0" applyFont="1" applyFill="1"/>
    <xf numFmtId="0" fontId="44" fillId="17" borderId="0" xfId="0" applyFont="1" applyFill="1"/>
    <xf numFmtId="0" fontId="46" fillId="17" borderId="0" xfId="0" applyFont="1" applyFill="1"/>
    <xf numFmtId="0" fontId="49" fillId="17" borderId="0" xfId="0" applyFont="1" applyFill="1"/>
    <xf numFmtId="0" fontId="50" fillId="17" borderId="0" xfId="0" applyFont="1" applyFill="1"/>
    <xf numFmtId="0" fontId="53" fillId="17" borderId="0" xfId="0" applyFont="1" applyFill="1"/>
    <xf numFmtId="0" fontId="1" fillId="0" borderId="2" xfId="0" applyFont="1" applyBorder="1" applyAlignment="1" applyProtection="1">
      <alignment horizontal="center" vertical="center"/>
    </xf>
    <xf numFmtId="1" fontId="1" fillId="0" borderId="1" xfId="0" applyNumberFormat="1" applyFont="1" applyBorder="1" applyAlignment="1" applyProtection="1">
      <alignment horizontal="center" vertical="center"/>
    </xf>
    <xf numFmtId="1" fontId="1" fillId="0" borderId="2" xfId="0" applyNumberFormat="1" applyFont="1" applyBorder="1" applyAlignment="1" applyProtection="1">
      <alignment horizontal="center" vertical="center"/>
    </xf>
    <xf numFmtId="1" fontId="1" fillId="0" borderId="7" xfId="0" applyNumberFormat="1" applyFont="1" applyBorder="1" applyAlignment="1" applyProtection="1">
      <alignment horizontal="center" vertical="center"/>
    </xf>
    <xf numFmtId="2" fontId="1" fillId="0" borderId="2" xfId="0" applyNumberFormat="1" applyFont="1" applyBorder="1" applyAlignment="1" applyProtection="1">
      <alignment horizontal="center" vertical="center"/>
    </xf>
    <xf numFmtId="2" fontId="1" fillId="0" borderId="20" xfId="0" applyNumberFormat="1" applyFont="1" applyBorder="1" applyAlignment="1" applyProtection="1">
      <alignment horizontal="center" vertical="center"/>
    </xf>
    <xf numFmtId="1" fontId="1" fillId="0" borderId="20" xfId="0" applyNumberFormat="1" applyFont="1" applyBorder="1" applyAlignment="1" applyProtection="1">
      <alignment horizontal="center" vertical="center"/>
    </xf>
    <xf numFmtId="2" fontId="1" fillId="0" borderId="25" xfId="0" applyNumberFormat="1" applyFont="1" applyBorder="1" applyAlignment="1" applyProtection="1">
      <alignment horizontal="center" vertical="center"/>
    </xf>
    <xf numFmtId="165" fontId="1" fillId="0" borderId="1" xfId="0" applyNumberFormat="1" applyFont="1" applyBorder="1" applyAlignment="1" applyProtection="1">
      <alignment horizontal="center" vertical="center"/>
    </xf>
    <xf numFmtId="164" fontId="5" fillId="3" borderId="1" xfId="0" applyNumberFormat="1" applyFont="1" applyFill="1" applyBorder="1" applyAlignment="1" applyProtection="1">
      <alignment horizontal="center" vertical="center"/>
    </xf>
    <xf numFmtId="2" fontId="5" fillId="3" borderId="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 applyProtection="1">
      <alignment horizontal="center" vertical="center"/>
    </xf>
    <xf numFmtId="165" fontId="1" fillId="0" borderId="2" xfId="0" applyNumberFormat="1" applyFont="1" applyBorder="1" applyAlignment="1" applyProtection="1">
      <alignment horizontal="center" vertical="center"/>
    </xf>
    <xf numFmtId="164" fontId="5" fillId="3" borderId="20" xfId="0" applyNumberFormat="1" applyFont="1" applyFill="1" applyBorder="1" applyAlignment="1" applyProtection="1">
      <alignment horizontal="center" vertical="center"/>
    </xf>
    <xf numFmtId="2" fontId="5" fillId="3" borderId="20" xfId="0" applyNumberFormat="1" applyFont="1" applyFill="1" applyBorder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/>
    </xf>
    <xf numFmtId="0" fontId="2" fillId="0" borderId="24" xfId="0" applyFont="1" applyBorder="1" applyAlignment="1" applyProtection="1">
      <alignment horizontal="center" vertical="center"/>
    </xf>
    <xf numFmtId="165" fontId="1" fillId="0" borderId="20" xfId="0" applyNumberFormat="1" applyFont="1" applyBorder="1" applyAlignment="1" applyProtection="1">
      <alignment horizontal="center" vertical="center"/>
    </xf>
    <xf numFmtId="2" fontId="1" fillId="0" borderId="21" xfId="0" applyNumberFormat="1" applyFont="1" applyBorder="1" applyAlignment="1" applyProtection="1">
      <alignment horizontal="center" vertical="center"/>
    </xf>
    <xf numFmtId="1" fontId="1" fillId="0" borderId="24" xfId="0" applyNumberFormat="1" applyFont="1" applyBorder="1" applyAlignment="1" applyProtection="1">
      <alignment horizontal="center" vertical="center"/>
    </xf>
    <xf numFmtId="0" fontId="0" fillId="0" borderId="0" xfId="0" applyProtection="1"/>
    <xf numFmtId="0" fontId="0" fillId="0" borderId="22" xfId="0" applyBorder="1" applyProtection="1"/>
    <xf numFmtId="0" fontId="2" fillId="14" borderId="1" xfId="0" applyFont="1" applyFill="1" applyBorder="1" applyAlignment="1" applyProtection="1">
      <alignment horizontal="center" vertical="center"/>
    </xf>
    <xf numFmtId="0" fontId="39" fillId="14" borderId="0" xfId="0" applyFont="1" applyFill="1" applyProtection="1"/>
    <xf numFmtId="0" fontId="34" fillId="0" borderId="1" xfId="0" applyFont="1" applyBorder="1" applyAlignment="1" applyProtection="1">
      <alignment horizontal="center"/>
    </xf>
    <xf numFmtId="2" fontId="33" fillId="15" borderId="17" xfId="0" applyNumberFormat="1" applyFont="1" applyFill="1" applyBorder="1" applyAlignment="1" applyProtection="1">
      <alignment horizontal="center" vertical="center"/>
    </xf>
    <xf numFmtId="2" fontId="33" fillId="15" borderId="1" xfId="0" applyNumberFormat="1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fif"/><Relationship Id="rId2" Type="http://schemas.openxmlformats.org/officeDocument/2006/relationships/image" Target="../media/image2.jfif"/><Relationship Id="rId1" Type="http://schemas.openxmlformats.org/officeDocument/2006/relationships/image" Target="../media/image1.jfi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fif"/><Relationship Id="rId2" Type="http://schemas.openxmlformats.org/officeDocument/2006/relationships/image" Target="../media/image2.jfif"/><Relationship Id="rId1" Type="http://schemas.openxmlformats.org/officeDocument/2006/relationships/image" Target="../media/image1.jf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fif"/><Relationship Id="rId2" Type="http://schemas.openxmlformats.org/officeDocument/2006/relationships/image" Target="../media/image2.jfif"/><Relationship Id="rId1" Type="http://schemas.openxmlformats.org/officeDocument/2006/relationships/image" Target="../media/image1.jf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fif"/><Relationship Id="rId2" Type="http://schemas.openxmlformats.org/officeDocument/2006/relationships/image" Target="../media/image2.jfif"/><Relationship Id="rId1" Type="http://schemas.openxmlformats.org/officeDocument/2006/relationships/image" Target="../media/image1.jf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fif"/><Relationship Id="rId2" Type="http://schemas.openxmlformats.org/officeDocument/2006/relationships/image" Target="../media/image2.jfif"/><Relationship Id="rId1" Type="http://schemas.openxmlformats.org/officeDocument/2006/relationships/image" Target="../media/image1.jfi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fif"/><Relationship Id="rId2" Type="http://schemas.openxmlformats.org/officeDocument/2006/relationships/image" Target="../media/image2.jfif"/><Relationship Id="rId1" Type="http://schemas.openxmlformats.org/officeDocument/2006/relationships/image" Target="../media/image1.jfi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fif"/><Relationship Id="rId2" Type="http://schemas.openxmlformats.org/officeDocument/2006/relationships/image" Target="../media/image2.jfif"/><Relationship Id="rId1" Type="http://schemas.openxmlformats.org/officeDocument/2006/relationships/image" Target="../media/image1.jfi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fif"/><Relationship Id="rId2" Type="http://schemas.openxmlformats.org/officeDocument/2006/relationships/image" Target="../media/image2.jfif"/><Relationship Id="rId1" Type="http://schemas.openxmlformats.org/officeDocument/2006/relationships/image" Target="../media/image1.jfi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fif"/><Relationship Id="rId2" Type="http://schemas.openxmlformats.org/officeDocument/2006/relationships/image" Target="../media/image2.jfif"/><Relationship Id="rId1" Type="http://schemas.openxmlformats.org/officeDocument/2006/relationships/image" Target="../media/image1.jfi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fif"/><Relationship Id="rId2" Type="http://schemas.openxmlformats.org/officeDocument/2006/relationships/image" Target="../media/image2.jfif"/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546340</xdr:colOff>
      <xdr:row>5</xdr:row>
      <xdr:rowOff>273169</xdr:rowOff>
    </xdr:from>
    <xdr:to>
      <xdr:col>10</xdr:col>
      <xdr:colOff>131214</xdr:colOff>
      <xdr:row>12</xdr:row>
      <xdr:rowOff>287547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0906" y="1365848"/>
          <a:ext cx="3466761" cy="2185359"/>
        </a:xfrm>
        <a:prstGeom prst="rect">
          <a:avLst/>
        </a:prstGeom>
      </xdr:spPr>
    </xdr:pic>
    <xdr:clientData/>
  </xdr:twoCellAnchor>
  <xdr:twoCellAnchor editAs="oneCell">
    <xdr:from>
      <xdr:col>22</xdr:col>
      <xdr:colOff>244414</xdr:colOff>
      <xdr:row>6</xdr:row>
      <xdr:rowOff>0</xdr:rowOff>
    </xdr:from>
    <xdr:to>
      <xdr:col>24</xdr:col>
      <xdr:colOff>1184542</xdr:colOff>
      <xdr:row>12</xdr:row>
      <xdr:rowOff>245314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55508" y="1365849"/>
          <a:ext cx="3556807" cy="2143125"/>
        </a:xfrm>
        <a:prstGeom prst="rect">
          <a:avLst/>
        </a:prstGeom>
      </xdr:spPr>
    </xdr:pic>
    <xdr:clientData/>
  </xdr:twoCellAnchor>
  <xdr:twoCellAnchor editAs="oneCell">
    <xdr:from>
      <xdr:col>15</xdr:col>
      <xdr:colOff>675736</xdr:colOff>
      <xdr:row>1</xdr:row>
      <xdr:rowOff>14378</xdr:rowOff>
    </xdr:from>
    <xdr:to>
      <xdr:col>17</xdr:col>
      <xdr:colOff>603849</xdr:colOff>
      <xdr:row>6</xdr:row>
      <xdr:rowOff>158151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49887" y="201284"/>
          <a:ext cx="1998453" cy="132271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</xdr:colOff>
      <xdr:row>2</xdr:row>
      <xdr:rowOff>138404</xdr:rowOff>
    </xdr:from>
    <xdr:to>
      <xdr:col>8</xdr:col>
      <xdr:colOff>136009</xdr:colOff>
      <xdr:row>10</xdr:row>
      <xdr:rowOff>174923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7080" y="504164"/>
          <a:ext cx="3321169" cy="2185359"/>
        </a:xfrm>
        <a:prstGeom prst="rect">
          <a:avLst/>
        </a:prstGeom>
      </xdr:spPr>
    </xdr:pic>
    <xdr:clientData/>
  </xdr:twoCellAnchor>
  <xdr:twoCellAnchor editAs="oneCell">
    <xdr:from>
      <xdr:col>15</xdr:col>
      <xdr:colOff>37864</xdr:colOff>
      <xdr:row>3</xdr:row>
      <xdr:rowOff>10306</xdr:rowOff>
    </xdr:from>
    <xdr:to>
      <xdr:col>17</xdr:col>
      <xdr:colOff>16298</xdr:colOff>
      <xdr:row>10</xdr:row>
      <xdr:rowOff>187471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79944" y="558946"/>
          <a:ext cx="3407434" cy="2143125"/>
        </a:xfrm>
        <a:prstGeom prst="rect">
          <a:avLst/>
        </a:prstGeom>
      </xdr:spPr>
    </xdr:pic>
    <xdr:clientData/>
  </xdr:twoCellAnchor>
  <xdr:twoCellAnchor editAs="oneCell">
    <xdr:from>
      <xdr:col>11</xdr:col>
      <xdr:colOff>668515</xdr:colOff>
      <xdr:row>0</xdr:row>
      <xdr:rowOff>0</xdr:rowOff>
    </xdr:from>
    <xdr:to>
      <xdr:col>12</xdr:col>
      <xdr:colOff>1013320</xdr:colOff>
      <xdr:row>5</xdr:row>
      <xdr:rowOff>240676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1235" y="0"/>
          <a:ext cx="1914525" cy="13227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2</xdr:row>
      <xdr:rowOff>148564</xdr:rowOff>
    </xdr:from>
    <xdr:to>
      <xdr:col>8</xdr:col>
      <xdr:colOff>425569</xdr:colOff>
      <xdr:row>10</xdr:row>
      <xdr:rowOff>213023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900" y="504164"/>
          <a:ext cx="3321169" cy="2185359"/>
        </a:xfrm>
        <a:prstGeom prst="rect">
          <a:avLst/>
        </a:prstGeom>
      </xdr:spPr>
    </xdr:pic>
    <xdr:clientData/>
  </xdr:twoCellAnchor>
  <xdr:twoCellAnchor editAs="oneCell">
    <xdr:from>
      <xdr:col>14</xdr:col>
      <xdr:colOff>1407303</xdr:colOff>
      <xdr:row>3</xdr:row>
      <xdr:rowOff>34265</xdr:rowOff>
    </xdr:from>
    <xdr:to>
      <xdr:col>16</xdr:col>
      <xdr:colOff>1588937</xdr:colOff>
      <xdr:row>10</xdr:row>
      <xdr:rowOff>234290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6503" y="567665"/>
          <a:ext cx="3407434" cy="2143125"/>
        </a:xfrm>
        <a:prstGeom prst="rect">
          <a:avLst/>
        </a:prstGeom>
      </xdr:spPr>
    </xdr:pic>
    <xdr:clientData/>
  </xdr:twoCellAnchor>
  <xdr:twoCellAnchor editAs="oneCell">
    <xdr:from>
      <xdr:col>11</xdr:col>
      <xdr:colOff>380281</xdr:colOff>
      <xdr:row>0</xdr:row>
      <xdr:rowOff>0</xdr:rowOff>
    </xdr:from>
    <xdr:to>
      <xdr:col>12</xdr:col>
      <xdr:colOff>897806</xdr:colOff>
      <xdr:row>5</xdr:row>
      <xdr:rowOff>255916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3081" y="0"/>
          <a:ext cx="1914525" cy="13227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34636</xdr:colOff>
      <xdr:row>2</xdr:row>
      <xdr:rowOff>122009</xdr:rowOff>
    </xdr:from>
    <xdr:to>
      <xdr:col>8</xdr:col>
      <xdr:colOff>400168</xdr:colOff>
      <xdr:row>10</xdr:row>
      <xdr:rowOff>183005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454" y="491464"/>
          <a:ext cx="3321169" cy="2185359"/>
        </a:xfrm>
        <a:prstGeom prst="rect">
          <a:avLst/>
        </a:prstGeom>
      </xdr:spPr>
    </xdr:pic>
    <xdr:clientData/>
  </xdr:twoCellAnchor>
  <xdr:twoCellAnchor editAs="oneCell">
    <xdr:from>
      <xdr:col>14</xdr:col>
      <xdr:colOff>1625511</xdr:colOff>
      <xdr:row>2</xdr:row>
      <xdr:rowOff>175119</xdr:rowOff>
    </xdr:from>
    <xdr:to>
      <xdr:col>16</xdr:col>
      <xdr:colOff>1557763</xdr:colOff>
      <xdr:row>10</xdr:row>
      <xdr:rowOff>193881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84511" y="544574"/>
          <a:ext cx="3407434" cy="2143125"/>
        </a:xfrm>
        <a:prstGeom prst="rect">
          <a:avLst/>
        </a:prstGeom>
      </xdr:spPr>
    </xdr:pic>
    <xdr:clientData/>
  </xdr:twoCellAnchor>
  <xdr:twoCellAnchor editAs="oneCell">
    <xdr:from>
      <xdr:col>11</xdr:col>
      <xdr:colOff>562699</xdr:colOff>
      <xdr:row>0</xdr:row>
      <xdr:rowOff>0</xdr:rowOff>
    </xdr:from>
    <xdr:to>
      <xdr:col>12</xdr:col>
      <xdr:colOff>941678</xdr:colOff>
      <xdr:row>5</xdr:row>
      <xdr:rowOff>237443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1335" y="0"/>
          <a:ext cx="1914525" cy="13227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34120</xdr:colOff>
      <xdr:row>2</xdr:row>
      <xdr:rowOff>140224</xdr:rowOff>
    </xdr:from>
    <xdr:to>
      <xdr:col>8</xdr:col>
      <xdr:colOff>182185</xdr:colOff>
      <xdr:row>10</xdr:row>
      <xdr:rowOff>221553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8210" y="504164"/>
          <a:ext cx="3321169" cy="2185359"/>
        </a:xfrm>
        <a:prstGeom prst="rect">
          <a:avLst/>
        </a:prstGeom>
      </xdr:spPr>
    </xdr:pic>
    <xdr:clientData/>
  </xdr:twoCellAnchor>
  <xdr:twoCellAnchor editAs="oneCell">
    <xdr:from>
      <xdr:col>14</xdr:col>
      <xdr:colOff>1713052</xdr:colOff>
      <xdr:row>2</xdr:row>
      <xdr:rowOff>169606</xdr:rowOff>
    </xdr:from>
    <xdr:to>
      <xdr:col>16</xdr:col>
      <xdr:colOff>1572068</xdr:colOff>
      <xdr:row>10</xdr:row>
      <xdr:rowOff>208701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2634" y="533546"/>
          <a:ext cx="3407434" cy="2143125"/>
        </a:xfrm>
        <a:prstGeom prst="rect">
          <a:avLst/>
        </a:prstGeom>
      </xdr:spPr>
    </xdr:pic>
    <xdr:clientData/>
  </xdr:twoCellAnchor>
  <xdr:twoCellAnchor editAs="oneCell">
    <xdr:from>
      <xdr:col>11</xdr:col>
      <xdr:colOff>586705</xdr:colOff>
      <xdr:row>0</xdr:row>
      <xdr:rowOff>0</xdr:rowOff>
    </xdr:from>
    <xdr:to>
      <xdr:col>12</xdr:col>
      <xdr:colOff>988603</xdr:colOff>
      <xdr:row>5</xdr:row>
      <xdr:rowOff>242268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0765" y="0"/>
          <a:ext cx="1914525" cy="13227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2</xdr:row>
      <xdr:rowOff>148564</xdr:rowOff>
    </xdr:from>
    <xdr:to>
      <xdr:col>7</xdr:col>
      <xdr:colOff>1581269</xdr:colOff>
      <xdr:row>10</xdr:row>
      <xdr:rowOff>213023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900" y="504164"/>
          <a:ext cx="3321169" cy="2185359"/>
        </a:xfrm>
        <a:prstGeom prst="rect">
          <a:avLst/>
        </a:prstGeom>
      </xdr:spPr>
    </xdr:pic>
    <xdr:clientData/>
  </xdr:twoCellAnchor>
  <xdr:twoCellAnchor editAs="oneCell">
    <xdr:from>
      <xdr:col>14</xdr:col>
      <xdr:colOff>1445024</xdr:colOff>
      <xdr:row>3</xdr:row>
      <xdr:rowOff>38246</xdr:rowOff>
    </xdr:from>
    <xdr:to>
      <xdr:col>16</xdr:col>
      <xdr:colOff>1575858</xdr:colOff>
      <xdr:row>10</xdr:row>
      <xdr:rowOff>238271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0724" y="571646"/>
          <a:ext cx="3407434" cy="2143125"/>
        </a:xfrm>
        <a:prstGeom prst="rect">
          <a:avLst/>
        </a:prstGeom>
      </xdr:spPr>
    </xdr:pic>
    <xdr:clientData/>
  </xdr:twoCellAnchor>
  <xdr:twoCellAnchor editAs="oneCell">
    <xdr:from>
      <xdr:col>10</xdr:col>
      <xdr:colOff>937755</xdr:colOff>
      <xdr:row>0</xdr:row>
      <xdr:rowOff>0</xdr:rowOff>
    </xdr:from>
    <xdr:to>
      <xdr:col>11</xdr:col>
      <xdr:colOff>1201280</xdr:colOff>
      <xdr:row>5</xdr:row>
      <xdr:rowOff>255916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78655" y="0"/>
          <a:ext cx="1914525" cy="13227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2</xdr:row>
      <xdr:rowOff>161264</xdr:rowOff>
    </xdr:from>
    <xdr:to>
      <xdr:col>8</xdr:col>
      <xdr:colOff>133469</xdr:colOff>
      <xdr:row>10</xdr:row>
      <xdr:rowOff>225723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1200" y="516864"/>
          <a:ext cx="3321169" cy="2185359"/>
        </a:xfrm>
        <a:prstGeom prst="rect">
          <a:avLst/>
        </a:prstGeom>
      </xdr:spPr>
    </xdr:pic>
    <xdr:clientData/>
  </xdr:twoCellAnchor>
  <xdr:twoCellAnchor editAs="oneCell">
    <xdr:from>
      <xdr:col>14</xdr:col>
      <xdr:colOff>1711724</xdr:colOff>
      <xdr:row>3</xdr:row>
      <xdr:rowOff>76346</xdr:rowOff>
    </xdr:from>
    <xdr:to>
      <xdr:col>16</xdr:col>
      <xdr:colOff>1601258</xdr:colOff>
      <xdr:row>10</xdr:row>
      <xdr:rowOff>276371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67524" y="609746"/>
          <a:ext cx="3407434" cy="2143125"/>
        </a:xfrm>
        <a:prstGeom prst="rect">
          <a:avLst/>
        </a:prstGeom>
      </xdr:spPr>
    </xdr:pic>
    <xdr:clientData/>
  </xdr:twoCellAnchor>
  <xdr:twoCellAnchor editAs="oneCell">
    <xdr:from>
      <xdr:col>11</xdr:col>
      <xdr:colOff>340855</xdr:colOff>
      <xdr:row>0</xdr:row>
      <xdr:rowOff>12700</xdr:rowOff>
    </xdr:from>
    <xdr:to>
      <xdr:col>12</xdr:col>
      <xdr:colOff>744080</xdr:colOff>
      <xdr:row>5</xdr:row>
      <xdr:rowOff>268616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5955" y="12700"/>
          <a:ext cx="1914525" cy="132271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2</xdr:row>
      <xdr:rowOff>148564</xdr:rowOff>
    </xdr:from>
    <xdr:to>
      <xdr:col>8</xdr:col>
      <xdr:colOff>374769</xdr:colOff>
      <xdr:row>10</xdr:row>
      <xdr:rowOff>213023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900" y="504164"/>
          <a:ext cx="3321169" cy="2185359"/>
        </a:xfrm>
        <a:prstGeom prst="rect">
          <a:avLst/>
        </a:prstGeom>
      </xdr:spPr>
    </xdr:pic>
    <xdr:clientData/>
  </xdr:twoCellAnchor>
  <xdr:twoCellAnchor editAs="oneCell">
    <xdr:from>
      <xdr:col>14</xdr:col>
      <xdr:colOff>1648224</xdr:colOff>
      <xdr:row>3</xdr:row>
      <xdr:rowOff>76346</xdr:rowOff>
    </xdr:from>
    <xdr:to>
      <xdr:col>16</xdr:col>
      <xdr:colOff>1588558</xdr:colOff>
      <xdr:row>10</xdr:row>
      <xdr:rowOff>276371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99224" y="609746"/>
          <a:ext cx="3407434" cy="2143125"/>
        </a:xfrm>
        <a:prstGeom prst="rect">
          <a:avLst/>
        </a:prstGeom>
      </xdr:spPr>
    </xdr:pic>
    <xdr:clientData/>
  </xdr:twoCellAnchor>
  <xdr:twoCellAnchor editAs="oneCell">
    <xdr:from>
      <xdr:col>11</xdr:col>
      <xdr:colOff>531355</xdr:colOff>
      <xdr:row>0</xdr:row>
      <xdr:rowOff>0</xdr:rowOff>
    </xdr:from>
    <xdr:to>
      <xdr:col>12</xdr:col>
      <xdr:colOff>934580</xdr:colOff>
      <xdr:row>5</xdr:row>
      <xdr:rowOff>255916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1655" y="0"/>
          <a:ext cx="1914525" cy="13227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2</xdr:row>
      <xdr:rowOff>148564</xdr:rowOff>
    </xdr:from>
    <xdr:to>
      <xdr:col>8</xdr:col>
      <xdr:colOff>120769</xdr:colOff>
      <xdr:row>10</xdr:row>
      <xdr:rowOff>213023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900" y="504164"/>
          <a:ext cx="3321169" cy="2185359"/>
        </a:xfrm>
        <a:prstGeom prst="rect">
          <a:avLst/>
        </a:prstGeom>
      </xdr:spPr>
    </xdr:pic>
    <xdr:clientData/>
  </xdr:twoCellAnchor>
  <xdr:twoCellAnchor editAs="oneCell">
    <xdr:from>
      <xdr:col>14</xdr:col>
      <xdr:colOff>1140224</xdr:colOff>
      <xdr:row>3</xdr:row>
      <xdr:rowOff>25546</xdr:rowOff>
    </xdr:from>
    <xdr:to>
      <xdr:col>16</xdr:col>
      <xdr:colOff>1359958</xdr:colOff>
      <xdr:row>10</xdr:row>
      <xdr:rowOff>225571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30924" y="558946"/>
          <a:ext cx="3407434" cy="2143125"/>
        </a:xfrm>
        <a:prstGeom prst="rect">
          <a:avLst/>
        </a:prstGeom>
      </xdr:spPr>
    </xdr:pic>
    <xdr:clientData/>
  </xdr:twoCellAnchor>
  <xdr:twoCellAnchor editAs="oneCell">
    <xdr:from>
      <xdr:col>11</xdr:col>
      <xdr:colOff>378955</xdr:colOff>
      <xdr:row>0</xdr:row>
      <xdr:rowOff>0</xdr:rowOff>
    </xdr:from>
    <xdr:to>
      <xdr:col>12</xdr:col>
      <xdr:colOff>896480</xdr:colOff>
      <xdr:row>5</xdr:row>
      <xdr:rowOff>255916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3255" y="0"/>
          <a:ext cx="1914525" cy="132271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</xdr:colOff>
      <xdr:row>2</xdr:row>
      <xdr:rowOff>138404</xdr:rowOff>
    </xdr:from>
    <xdr:to>
      <xdr:col>8</xdr:col>
      <xdr:colOff>318889</xdr:colOff>
      <xdr:row>10</xdr:row>
      <xdr:rowOff>174923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1840" y="504164"/>
          <a:ext cx="3321169" cy="2185359"/>
        </a:xfrm>
        <a:prstGeom prst="rect">
          <a:avLst/>
        </a:prstGeom>
      </xdr:spPr>
    </xdr:pic>
    <xdr:clientData/>
  </xdr:twoCellAnchor>
  <xdr:twoCellAnchor editAs="oneCell">
    <xdr:from>
      <xdr:col>15</xdr:col>
      <xdr:colOff>266464</xdr:colOff>
      <xdr:row>3</xdr:row>
      <xdr:rowOff>25546</xdr:rowOff>
    </xdr:from>
    <xdr:to>
      <xdr:col>16</xdr:col>
      <xdr:colOff>1707938</xdr:colOff>
      <xdr:row>10</xdr:row>
      <xdr:rowOff>202711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8544" y="574186"/>
          <a:ext cx="3407434" cy="2143125"/>
        </a:xfrm>
        <a:prstGeom prst="rect">
          <a:avLst/>
        </a:prstGeom>
      </xdr:spPr>
    </xdr:pic>
    <xdr:clientData/>
  </xdr:twoCellAnchor>
  <xdr:twoCellAnchor editAs="oneCell">
    <xdr:from>
      <xdr:col>11</xdr:col>
      <xdr:colOff>592315</xdr:colOff>
      <xdr:row>0</xdr:row>
      <xdr:rowOff>0</xdr:rowOff>
    </xdr:from>
    <xdr:to>
      <xdr:col>12</xdr:col>
      <xdr:colOff>921880</xdr:colOff>
      <xdr:row>5</xdr:row>
      <xdr:rowOff>240676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5995" y="0"/>
          <a:ext cx="1914525" cy="1322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AP102"/>
  <sheetViews>
    <sheetView topLeftCell="F16" zoomScale="53" zoomScaleNormal="53" workbookViewId="0">
      <selection activeCell="T18" sqref="T18"/>
    </sheetView>
  </sheetViews>
  <sheetFormatPr baseColWidth="10" defaultColWidth="8.85546875" defaultRowHeight="15" x14ac:dyDescent="0.25"/>
  <cols>
    <col min="5" max="5" width="6" customWidth="1"/>
    <col min="6" max="6" width="7.85546875" customWidth="1"/>
    <col min="7" max="7" width="23.5703125" customWidth="1"/>
    <col min="8" max="8" width="19.42578125" customWidth="1"/>
    <col min="9" max="9" width="18.42578125" customWidth="1"/>
    <col min="10" max="10" width="18.85546875" customWidth="1"/>
    <col min="11" max="11" width="14" customWidth="1"/>
    <col min="12" max="12" width="15.5703125" customWidth="1"/>
    <col min="13" max="13" width="13.140625" customWidth="1"/>
    <col min="14" max="14" width="15.140625" customWidth="1"/>
    <col min="15" max="15" width="15" customWidth="1"/>
    <col min="16" max="16" width="14.85546875" customWidth="1"/>
    <col min="17" max="17" width="15.5703125" customWidth="1"/>
    <col min="18" max="18" width="22" customWidth="1"/>
    <col min="19" max="19" width="22.140625" customWidth="1"/>
    <col min="20" max="20" width="19.5703125" customWidth="1"/>
    <col min="21" max="21" width="16.28515625" customWidth="1"/>
    <col min="22" max="22" width="19.5703125" customWidth="1"/>
    <col min="23" max="23" width="20" customWidth="1"/>
    <col min="24" max="24" width="18.140625" customWidth="1"/>
    <col min="25" max="25" width="23.85546875" customWidth="1"/>
    <col min="26" max="26" width="22.140625" customWidth="1"/>
    <col min="27" max="27" width="18.85546875" customWidth="1"/>
    <col min="28" max="28" width="19.5703125" customWidth="1"/>
    <col min="29" max="29" width="14.5703125" customWidth="1"/>
    <col min="30" max="30" width="20.5703125" customWidth="1"/>
    <col min="31" max="31" width="24" customWidth="1"/>
    <col min="32" max="32" width="18" customWidth="1"/>
    <col min="33" max="37" width="20.5703125" customWidth="1"/>
    <col min="38" max="38" width="18.42578125" customWidth="1"/>
    <col min="39" max="39" width="23" customWidth="1"/>
    <col min="40" max="40" width="24.7109375" customWidth="1"/>
    <col min="41" max="41" width="22.140625" customWidth="1"/>
    <col min="42" max="42" width="16.85546875" customWidth="1"/>
    <col min="43" max="43" width="2.7109375" customWidth="1"/>
  </cols>
  <sheetData>
    <row r="4" spans="6:42" ht="19.5" x14ac:dyDescent="0.25">
      <c r="F4" s="1"/>
      <c r="T4" s="2"/>
      <c r="U4" s="2"/>
      <c r="V4" s="2"/>
      <c r="AN4" s="2"/>
      <c r="AO4" s="1"/>
    </row>
    <row r="5" spans="6:42" ht="19.5" x14ac:dyDescent="0.25">
      <c r="AO5" s="1"/>
      <c r="AP5" s="1"/>
    </row>
    <row r="6" spans="6:42" ht="19.5" x14ac:dyDescent="0.25"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P6" s="2"/>
    </row>
    <row r="7" spans="6:42" ht="19.5" x14ac:dyDescent="0.25">
      <c r="F7" s="1"/>
      <c r="W7" s="2"/>
      <c r="X7" s="2"/>
      <c r="Y7" s="2"/>
      <c r="Z7" s="2"/>
      <c r="AA7" s="2"/>
      <c r="AB7" s="2" t="s">
        <v>47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O7" s="2"/>
    </row>
    <row r="8" spans="6:42" ht="30.75" x14ac:dyDescent="0.45">
      <c r="F8" s="1"/>
      <c r="M8" s="63" t="s">
        <v>106</v>
      </c>
      <c r="N8" s="63"/>
      <c r="O8" s="63"/>
      <c r="P8" s="63"/>
      <c r="Q8" s="63"/>
      <c r="R8" s="63"/>
      <c r="S8" s="63"/>
      <c r="T8" s="63"/>
      <c r="Y8" s="17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O8" s="2"/>
    </row>
    <row r="9" spans="6:42" ht="19.5" x14ac:dyDescent="0.25">
      <c r="F9" s="1"/>
      <c r="Q9" s="16"/>
      <c r="R9" s="16"/>
      <c r="S9" s="16"/>
      <c r="W9" s="1"/>
      <c r="Y9" s="1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2"/>
      <c r="AL9" s="2"/>
      <c r="AM9" s="2"/>
      <c r="AO9" s="2"/>
    </row>
    <row r="10" spans="6:42" ht="19.5" x14ac:dyDescent="0.25">
      <c r="F10" s="1"/>
      <c r="G10" s="2"/>
      <c r="H10" s="2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2"/>
      <c r="U10" s="2"/>
      <c r="V10" s="2"/>
      <c r="W10" s="2"/>
      <c r="X10" s="17"/>
      <c r="Y10" s="17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O10" s="2"/>
    </row>
    <row r="11" spans="6:42" ht="33" x14ac:dyDescent="0.5">
      <c r="F11" s="2"/>
      <c r="G11" s="2"/>
      <c r="H11" s="2"/>
      <c r="I11" s="2"/>
      <c r="J11" s="2"/>
      <c r="K11" s="2"/>
      <c r="L11" s="2"/>
      <c r="P11" s="64" t="s">
        <v>45</v>
      </c>
      <c r="Q11" s="64"/>
      <c r="R11" s="64"/>
      <c r="S11" s="1"/>
      <c r="T11" s="1"/>
      <c r="U11" s="1"/>
      <c r="V11" s="1"/>
      <c r="W11" s="1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O11" s="1"/>
    </row>
    <row r="12" spans="6:42" ht="19.5" x14ac:dyDescent="0.25">
      <c r="F12" s="1"/>
      <c r="G12" s="1"/>
      <c r="H12" s="1"/>
      <c r="I12" s="1"/>
      <c r="J12" s="1"/>
      <c r="K12" s="1"/>
      <c r="L12" s="1"/>
      <c r="M12" s="1"/>
      <c r="N12" s="1"/>
      <c r="O12" s="1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O12" s="1"/>
    </row>
    <row r="13" spans="6:42" ht="25.5" x14ac:dyDescent="0.4">
      <c r="F13" s="1"/>
      <c r="G13" s="1"/>
      <c r="H13" s="1"/>
      <c r="I13" s="1"/>
      <c r="J13" s="1"/>
      <c r="K13" s="1"/>
      <c r="L13" s="1"/>
      <c r="M13" s="1"/>
      <c r="N13" s="158" t="s">
        <v>399</v>
      </c>
      <c r="O13" s="158"/>
      <c r="P13" s="158"/>
      <c r="Q13" s="159"/>
      <c r="R13" s="156"/>
      <c r="S13" s="157"/>
      <c r="T13" s="3"/>
      <c r="U13" s="3"/>
      <c r="V13" s="3"/>
      <c r="W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1"/>
      <c r="AO13" s="1"/>
    </row>
    <row r="14" spans="6:42" ht="19.5" x14ac:dyDescent="0.25"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6:42" ht="20.25" thickBot="1" x14ac:dyDescent="0.3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6:42" ht="19.5" x14ac:dyDescent="0.25">
      <c r="F16" s="1"/>
      <c r="G16" s="191" t="s">
        <v>0</v>
      </c>
      <c r="H16" s="9" t="s">
        <v>94</v>
      </c>
      <c r="I16" s="9" t="s">
        <v>95</v>
      </c>
      <c r="J16" s="9" t="s">
        <v>94</v>
      </c>
      <c r="K16" s="9" t="s">
        <v>90</v>
      </c>
      <c r="L16" s="9" t="s">
        <v>92</v>
      </c>
      <c r="M16" s="9" t="s">
        <v>14</v>
      </c>
      <c r="N16" s="9" t="s">
        <v>2</v>
      </c>
      <c r="O16" s="9" t="s">
        <v>90</v>
      </c>
      <c r="P16" s="9" t="s">
        <v>92</v>
      </c>
      <c r="Q16" s="9" t="s">
        <v>14</v>
      </c>
      <c r="R16" s="12" t="s">
        <v>388</v>
      </c>
      <c r="S16" s="12" t="s">
        <v>398</v>
      </c>
      <c r="T16" s="12" t="s">
        <v>98</v>
      </c>
      <c r="U16" s="60" t="s">
        <v>88</v>
      </c>
      <c r="V16" s="50" t="s">
        <v>100</v>
      </c>
      <c r="W16" s="50" t="s">
        <v>100</v>
      </c>
      <c r="X16" s="50" t="s">
        <v>100</v>
      </c>
      <c r="Y16" s="45" t="s">
        <v>100</v>
      </c>
      <c r="Z16" s="45" t="s">
        <v>100</v>
      </c>
      <c r="AA16" s="45" t="s">
        <v>105</v>
      </c>
      <c r="AB16" s="11"/>
    </row>
    <row r="17" spans="6:33" ht="23.25" thickBot="1" x14ac:dyDescent="0.3">
      <c r="F17" s="1"/>
      <c r="G17" s="192"/>
      <c r="H17" s="10" t="s">
        <v>93</v>
      </c>
      <c r="I17" s="10" t="s">
        <v>93</v>
      </c>
      <c r="J17" s="10" t="s">
        <v>96</v>
      </c>
      <c r="K17" s="10" t="s">
        <v>91</v>
      </c>
      <c r="L17" s="10" t="s">
        <v>21</v>
      </c>
      <c r="M17" s="10" t="s">
        <v>91</v>
      </c>
      <c r="N17" s="10" t="s">
        <v>24</v>
      </c>
      <c r="O17" s="10" t="s">
        <v>24</v>
      </c>
      <c r="P17" s="10" t="s">
        <v>24</v>
      </c>
      <c r="Q17" s="10" t="s">
        <v>24</v>
      </c>
      <c r="R17" s="10" t="s">
        <v>87</v>
      </c>
      <c r="S17" s="10" t="s">
        <v>87</v>
      </c>
      <c r="T17" s="10" t="s">
        <v>97</v>
      </c>
      <c r="U17" s="61" t="s">
        <v>89</v>
      </c>
      <c r="V17" s="51" t="s">
        <v>99</v>
      </c>
      <c r="W17" s="51" t="s">
        <v>101</v>
      </c>
      <c r="X17" s="51" t="s">
        <v>102</v>
      </c>
      <c r="Y17" s="46" t="s">
        <v>103</v>
      </c>
      <c r="Z17" s="46" t="s">
        <v>107</v>
      </c>
      <c r="AA17" s="47" t="s">
        <v>104</v>
      </c>
    </row>
    <row r="18" spans="6:33" ht="55.9" customHeight="1" thickBot="1" x14ac:dyDescent="0.3">
      <c r="F18" s="4"/>
      <c r="G18" s="7" t="s">
        <v>79</v>
      </c>
      <c r="H18" s="55"/>
      <c r="I18" s="55"/>
      <c r="J18" s="55"/>
      <c r="K18" s="55"/>
      <c r="L18" s="55"/>
      <c r="M18" s="55"/>
      <c r="N18" s="55"/>
      <c r="O18" s="93">
        <v>0.12</v>
      </c>
      <c r="P18" s="93">
        <v>0.16</v>
      </c>
      <c r="Q18" s="70">
        <f>(I18/0.6)-1</f>
        <v>-1</v>
      </c>
      <c r="R18" s="55"/>
      <c r="S18" s="55"/>
      <c r="T18" s="93">
        <v>0.04</v>
      </c>
      <c r="U18" s="66">
        <f>((H18*I18*T18)+(J18*K18*L18*M18)+(N18*O18*P18*Q18))-(R18*S18*T18)</f>
        <v>0</v>
      </c>
      <c r="V18" s="67">
        <f>((U18*350)/50)*1.1</f>
        <v>0</v>
      </c>
      <c r="W18" s="67">
        <f>(U18*0.8)*1.05</f>
        <v>0</v>
      </c>
      <c r="X18" s="67">
        <f>(U18*0.4)*1.05</f>
        <v>0</v>
      </c>
      <c r="Y18" s="68">
        <f>V18/20</f>
        <v>0</v>
      </c>
      <c r="Z18" s="68">
        <f>((U18*1700)/1000)</f>
        <v>0</v>
      </c>
      <c r="AA18" s="68">
        <f>((U18*1600)/1000)</f>
        <v>0</v>
      </c>
      <c r="AC18" s="5"/>
    </row>
    <row r="19" spans="6:33" ht="55.9" customHeight="1" thickBot="1" x14ac:dyDescent="0.3">
      <c r="F19" s="65"/>
      <c r="G19" s="6" t="s">
        <v>80</v>
      </c>
      <c r="H19" s="55"/>
      <c r="I19" s="55"/>
      <c r="J19" s="55"/>
      <c r="K19" s="55"/>
      <c r="L19" s="55"/>
      <c r="M19" s="55"/>
      <c r="N19" s="55"/>
      <c r="O19" s="93">
        <v>0.12</v>
      </c>
      <c r="P19" s="93">
        <v>0.16</v>
      </c>
      <c r="Q19" s="70">
        <f t="shared" ref="Q19:Q25" si="0">(I19/0.6)-1</f>
        <v>-1</v>
      </c>
      <c r="R19" s="55"/>
      <c r="S19" s="55"/>
      <c r="T19" s="93">
        <v>0.04</v>
      </c>
      <c r="U19" s="66">
        <f t="shared" ref="U19:U25" si="1">((H19*I19*T19)+(J19*K19*L19*M19)+(N19*O19*P19*Q19))-(R19*S19*T19)</f>
        <v>0</v>
      </c>
      <c r="V19" s="67">
        <f t="shared" ref="V19:V25" si="2">((U19*350)/50)*1.1</f>
        <v>0</v>
      </c>
      <c r="W19" s="67">
        <f t="shared" ref="W19:W25" si="3">(U19*0.8)*1.05</f>
        <v>0</v>
      </c>
      <c r="X19" s="67">
        <f t="shared" ref="X19:X25" si="4">(U19*0.4)*1.05</f>
        <v>0</v>
      </c>
      <c r="Y19" s="68">
        <f t="shared" ref="Y19:Y25" si="5">V19/20</f>
        <v>0</v>
      </c>
      <c r="Z19" s="68">
        <f t="shared" ref="Z19:Z25" si="6">((U19*1700)/1000)</f>
        <v>0</v>
      </c>
      <c r="AA19" s="68">
        <f t="shared" ref="AA19:AA25" si="7">((U19*1600)/1000)</f>
        <v>0</v>
      </c>
      <c r="AB19" s="1"/>
      <c r="AE19" s="5"/>
    </row>
    <row r="20" spans="6:33" ht="55.9" customHeight="1" thickBot="1" x14ac:dyDescent="0.3">
      <c r="F20" s="4"/>
      <c r="G20" s="7" t="s">
        <v>81</v>
      </c>
      <c r="H20" s="55"/>
      <c r="I20" s="55"/>
      <c r="J20" s="55"/>
      <c r="K20" s="55"/>
      <c r="L20" s="55"/>
      <c r="M20" s="55"/>
      <c r="N20" s="55"/>
      <c r="O20" s="93">
        <v>0.12</v>
      </c>
      <c r="P20" s="93">
        <v>0.16</v>
      </c>
      <c r="Q20" s="70">
        <f t="shared" si="0"/>
        <v>-1</v>
      </c>
      <c r="R20" s="55"/>
      <c r="S20" s="55"/>
      <c r="T20" s="93">
        <v>0.04</v>
      </c>
      <c r="U20" s="66">
        <f t="shared" si="1"/>
        <v>0</v>
      </c>
      <c r="V20" s="67">
        <f t="shared" si="2"/>
        <v>0</v>
      </c>
      <c r="W20" s="67">
        <f t="shared" si="3"/>
        <v>0</v>
      </c>
      <c r="X20" s="67">
        <f t="shared" si="4"/>
        <v>0</v>
      </c>
      <c r="Y20" s="68">
        <f t="shared" si="5"/>
        <v>0</v>
      </c>
      <c r="Z20" s="68">
        <f t="shared" si="6"/>
        <v>0</v>
      </c>
      <c r="AA20" s="68">
        <f t="shared" si="7"/>
        <v>0</v>
      </c>
      <c r="AB20" s="1"/>
      <c r="AE20" s="5"/>
    </row>
    <row r="21" spans="6:33" ht="55.9" customHeight="1" thickBot="1" x14ac:dyDescent="0.3">
      <c r="F21" s="4"/>
      <c r="G21" s="7" t="s">
        <v>82</v>
      </c>
      <c r="H21" s="55"/>
      <c r="I21" s="55"/>
      <c r="J21" s="55"/>
      <c r="K21" s="55"/>
      <c r="L21" s="55"/>
      <c r="M21" s="55"/>
      <c r="N21" s="55"/>
      <c r="O21" s="93">
        <v>0.12</v>
      </c>
      <c r="P21" s="93">
        <v>0.16</v>
      </c>
      <c r="Q21" s="70">
        <f t="shared" si="0"/>
        <v>-1</v>
      </c>
      <c r="R21" s="55"/>
      <c r="S21" s="55"/>
      <c r="T21" s="93">
        <v>0.04</v>
      </c>
      <c r="U21" s="66">
        <f t="shared" si="1"/>
        <v>0</v>
      </c>
      <c r="V21" s="67">
        <f t="shared" si="2"/>
        <v>0</v>
      </c>
      <c r="W21" s="67">
        <f t="shared" si="3"/>
        <v>0</v>
      </c>
      <c r="X21" s="67">
        <f t="shared" si="4"/>
        <v>0</v>
      </c>
      <c r="Y21" s="68">
        <f t="shared" si="5"/>
        <v>0</v>
      </c>
      <c r="Z21" s="68">
        <f t="shared" si="6"/>
        <v>0</v>
      </c>
      <c r="AA21" s="68">
        <f t="shared" si="7"/>
        <v>0</v>
      </c>
      <c r="AB21" s="2"/>
      <c r="AE21" s="5"/>
    </row>
    <row r="22" spans="6:33" ht="55.9" customHeight="1" thickBot="1" x14ac:dyDescent="0.3">
      <c r="F22" s="4"/>
      <c r="G22" s="7" t="s">
        <v>83</v>
      </c>
      <c r="H22" s="55"/>
      <c r="I22" s="55"/>
      <c r="J22" s="55"/>
      <c r="K22" s="55"/>
      <c r="L22" s="55"/>
      <c r="M22" s="55"/>
      <c r="N22" s="55"/>
      <c r="O22" s="93">
        <v>0.12</v>
      </c>
      <c r="P22" s="93">
        <v>0.16</v>
      </c>
      <c r="Q22" s="70">
        <f t="shared" si="0"/>
        <v>-1</v>
      </c>
      <c r="R22" s="55"/>
      <c r="S22" s="55"/>
      <c r="T22" s="93">
        <v>0.04</v>
      </c>
      <c r="U22" s="66">
        <f t="shared" si="1"/>
        <v>0</v>
      </c>
      <c r="V22" s="67">
        <f t="shared" si="2"/>
        <v>0</v>
      </c>
      <c r="W22" s="67">
        <f t="shared" si="3"/>
        <v>0</v>
      </c>
      <c r="X22" s="67">
        <f t="shared" si="4"/>
        <v>0</v>
      </c>
      <c r="Y22" s="68">
        <f t="shared" si="5"/>
        <v>0</v>
      </c>
      <c r="Z22" s="68">
        <f t="shared" si="6"/>
        <v>0</v>
      </c>
      <c r="AA22" s="68">
        <f t="shared" si="7"/>
        <v>0</v>
      </c>
      <c r="AB22" s="1"/>
      <c r="AE22" s="16"/>
    </row>
    <row r="23" spans="6:33" ht="55.9" customHeight="1" thickBot="1" x14ac:dyDescent="0.3">
      <c r="F23" s="4"/>
      <c r="G23" s="7" t="s">
        <v>84</v>
      </c>
      <c r="H23" s="55"/>
      <c r="I23" s="55"/>
      <c r="J23" s="55"/>
      <c r="K23" s="55"/>
      <c r="L23" s="55"/>
      <c r="M23" s="55"/>
      <c r="N23" s="55"/>
      <c r="O23" s="93">
        <v>0.12</v>
      </c>
      <c r="P23" s="93">
        <v>0.16</v>
      </c>
      <c r="Q23" s="70">
        <f t="shared" si="0"/>
        <v>-1</v>
      </c>
      <c r="R23" s="55"/>
      <c r="S23" s="55"/>
      <c r="T23" s="93">
        <v>0.04</v>
      </c>
      <c r="U23" s="66">
        <f t="shared" si="1"/>
        <v>0</v>
      </c>
      <c r="V23" s="67">
        <f t="shared" si="2"/>
        <v>0</v>
      </c>
      <c r="W23" s="67">
        <f t="shared" si="3"/>
        <v>0</v>
      </c>
      <c r="X23" s="67">
        <f t="shared" si="4"/>
        <v>0</v>
      </c>
      <c r="Y23" s="68">
        <f t="shared" si="5"/>
        <v>0</v>
      </c>
      <c r="Z23" s="68">
        <f t="shared" si="6"/>
        <v>0</v>
      </c>
      <c r="AA23" s="68">
        <f t="shared" si="7"/>
        <v>0</v>
      </c>
    </row>
    <row r="24" spans="6:33" ht="55.9" customHeight="1" thickBot="1" x14ac:dyDescent="0.3">
      <c r="F24" s="4"/>
      <c r="G24" s="7" t="s">
        <v>85</v>
      </c>
      <c r="H24" s="55"/>
      <c r="I24" s="55"/>
      <c r="J24" s="55"/>
      <c r="K24" s="55"/>
      <c r="L24" s="55"/>
      <c r="M24" s="55"/>
      <c r="N24" s="55"/>
      <c r="O24" s="93">
        <v>0.12</v>
      </c>
      <c r="P24" s="93">
        <v>0.16</v>
      </c>
      <c r="Q24" s="70">
        <f t="shared" si="0"/>
        <v>-1</v>
      </c>
      <c r="R24" s="55"/>
      <c r="S24" s="55"/>
      <c r="T24" s="93">
        <v>0.04</v>
      </c>
      <c r="U24" s="66">
        <f t="shared" si="1"/>
        <v>0</v>
      </c>
      <c r="V24" s="67">
        <f t="shared" si="2"/>
        <v>0</v>
      </c>
      <c r="W24" s="67">
        <f t="shared" si="3"/>
        <v>0</v>
      </c>
      <c r="X24" s="67">
        <f t="shared" si="4"/>
        <v>0</v>
      </c>
      <c r="Y24" s="68">
        <f t="shared" si="5"/>
        <v>0</v>
      </c>
      <c r="Z24" s="68">
        <f t="shared" si="6"/>
        <v>0</v>
      </c>
      <c r="AA24" s="68">
        <f t="shared" si="7"/>
        <v>0</v>
      </c>
    </row>
    <row r="25" spans="6:33" ht="55.9" customHeight="1" thickBot="1" x14ac:dyDescent="0.3">
      <c r="F25" s="1"/>
      <c r="G25" s="7" t="s">
        <v>86</v>
      </c>
      <c r="H25" s="55"/>
      <c r="I25" s="55"/>
      <c r="J25" s="55"/>
      <c r="K25" s="55"/>
      <c r="L25" s="55"/>
      <c r="M25" s="55"/>
      <c r="N25" s="55"/>
      <c r="O25" s="93">
        <v>0.12</v>
      </c>
      <c r="P25" s="93">
        <v>0.16</v>
      </c>
      <c r="Q25" s="70">
        <f t="shared" si="0"/>
        <v>-1</v>
      </c>
      <c r="R25" s="55"/>
      <c r="S25" s="55"/>
      <c r="T25" s="93">
        <v>0.04</v>
      </c>
      <c r="U25" s="66">
        <f t="shared" si="1"/>
        <v>0</v>
      </c>
      <c r="V25" s="67">
        <f t="shared" si="2"/>
        <v>0</v>
      </c>
      <c r="W25" s="67">
        <f t="shared" si="3"/>
        <v>0</v>
      </c>
      <c r="X25" s="67">
        <f t="shared" si="4"/>
        <v>0</v>
      </c>
      <c r="Y25" s="68">
        <f t="shared" si="5"/>
        <v>0</v>
      </c>
      <c r="Z25" s="68">
        <f t="shared" si="6"/>
        <v>0</v>
      </c>
      <c r="AA25" s="68">
        <f t="shared" si="7"/>
        <v>0</v>
      </c>
    </row>
    <row r="26" spans="6:33" ht="19.5" x14ac:dyDescent="0.25">
      <c r="F26" s="1"/>
      <c r="G26" s="62"/>
      <c r="AC26" s="1"/>
      <c r="AF26" s="1"/>
      <c r="AG26" s="1"/>
    </row>
    <row r="27" spans="6:33" ht="20.25" thickBot="1" x14ac:dyDescent="0.3">
      <c r="F27" s="1"/>
      <c r="AC27" s="1"/>
      <c r="AF27" s="1"/>
    </row>
    <row r="28" spans="6:33" ht="30.75" thickBot="1" x14ac:dyDescent="0.3">
      <c r="F28" s="1"/>
      <c r="T28" s="74" t="s">
        <v>223</v>
      </c>
      <c r="U28" s="73">
        <f>SUM(U18:U25)</f>
        <v>0</v>
      </c>
      <c r="V28" s="73">
        <f t="shared" ref="V28:AA28" si="8">SUM(V18:V25)</f>
        <v>0</v>
      </c>
      <c r="W28" s="73">
        <f t="shared" si="8"/>
        <v>0</v>
      </c>
      <c r="X28" s="73">
        <f t="shared" si="8"/>
        <v>0</v>
      </c>
      <c r="Y28" s="73">
        <f t="shared" si="8"/>
        <v>0</v>
      </c>
      <c r="Z28" s="73">
        <f t="shared" si="8"/>
        <v>0</v>
      </c>
      <c r="AA28" s="73">
        <f t="shared" si="8"/>
        <v>0</v>
      </c>
      <c r="AC28" s="2"/>
    </row>
    <row r="29" spans="6:33" ht="24.6" customHeight="1" x14ac:dyDescent="0.25">
      <c r="F29" s="4"/>
      <c r="AC29" s="1"/>
    </row>
    <row r="30" spans="6:33" ht="19.5" x14ac:dyDescent="0.25">
      <c r="F30" s="4"/>
      <c r="G30" s="155"/>
      <c r="H30" s="155"/>
      <c r="I30" s="155"/>
    </row>
    <row r="31" spans="6:33" ht="19.5" x14ac:dyDescent="0.25">
      <c r="F31" s="4"/>
      <c r="Y31" s="24"/>
    </row>
    <row r="32" spans="6:33" ht="55.9" customHeight="1" x14ac:dyDescent="0.25">
      <c r="F32" s="4"/>
    </row>
    <row r="33" spans="6:35" ht="19.5" x14ac:dyDescent="0.25">
      <c r="F33" s="4"/>
      <c r="AE33" s="1"/>
      <c r="AF33" s="1"/>
      <c r="AI33" s="1"/>
    </row>
    <row r="34" spans="6:35" ht="19.5" x14ac:dyDescent="0.25">
      <c r="F34" s="4"/>
      <c r="AF34" s="1"/>
      <c r="AI34" s="1"/>
    </row>
    <row r="35" spans="6:35" ht="19.5" x14ac:dyDescent="0.25">
      <c r="F35" s="4"/>
      <c r="AF35" s="1"/>
      <c r="AI35" s="1"/>
    </row>
    <row r="36" spans="6:35" ht="19.5" x14ac:dyDescent="0.25">
      <c r="AI36" s="1"/>
    </row>
    <row r="37" spans="6:35" ht="19.5" x14ac:dyDescent="0.25">
      <c r="AG37" s="1"/>
    </row>
    <row r="38" spans="6:35" ht="19.5" x14ac:dyDescent="0.25">
      <c r="AG38" s="1"/>
    </row>
    <row r="39" spans="6:35" ht="55.9" customHeight="1" x14ac:dyDescent="0.25">
      <c r="AG39" s="1"/>
    </row>
    <row r="40" spans="6:35" ht="19.5" x14ac:dyDescent="0.25">
      <c r="AI40" s="1"/>
    </row>
    <row r="41" spans="6:35" ht="19.5" x14ac:dyDescent="0.25">
      <c r="AG41">
        <f>1.5/AG42</f>
        <v>25</v>
      </c>
      <c r="AI41" s="1"/>
    </row>
    <row r="42" spans="6:35" x14ac:dyDescent="0.25">
      <c r="AG42">
        <f>0.2*0.3</f>
        <v>0.06</v>
      </c>
    </row>
    <row r="43" spans="6:35" ht="19.5" x14ac:dyDescent="0.25">
      <c r="F43" s="4"/>
      <c r="AD43" s="1"/>
      <c r="AE43" s="1"/>
      <c r="AF43" s="1"/>
      <c r="AG43" s="1"/>
      <c r="AH43" s="4"/>
      <c r="AI43" s="1"/>
    </row>
    <row r="44" spans="6:35" ht="19.5" x14ac:dyDescent="0.25">
      <c r="F44" s="1"/>
      <c r="AD44" s="1"/>
      <c r="AE44" s="1"/>
      <c r="AF44" s="1"/>
      <c r="AG44" s="1"/>
      <c r="AH44" s="1"/>
      <c r="AI44" s="1"/>
    </row>
    <row r="45" spans="6:35" ht="55.9" customHeight="1" x14ac:dyDescent="0.25">
      <c r="F45" s="4"/>
    </row>
    <row r="46" spans="6:35" ht="19.5" x14ac:dyDescent="0.25">
      <c r="F46" s="4"/>
      <c r="AG46">
        <f>AE45/1</f>
        <v>0</v>
      </c>
    </row>
    <row r="47" spans="6:35" ht="19.5" x14ac:dyDescent="0.25">
      <c r="F47" s="4"/>
    </row>
    <row r="49" spans="31:37" ht="19.5" x14ac:dyDescent="0.25">
      <c r="AG49" s="1"/>
    </row>
    <row r="50" spans="31:37" ht="19.5" x14ac:dyDescent="0.25">
      <c r="AG50" s="2"/>
    </row>
    <row r="51" spans="31:37" ht="55.9" customHeight="1" x14ac:dyDescent="0.25">
      <c r="AG51" s="2"/>
    </row>
    <row r="52" spans="31:37" ht="19.5" x14ac:dyDescent="0.25">
      <c r="AG52" s="2"/>
    </row>
    <row r="53" spans="31:37" ht="19.5" x14ac:dyDescent="0.25">
      <c r="AG53" s="2"/>
    </row>
    <row r="54" spans="31:37" ht="19.5" x14ac:dyDescent="0.25">
      <c r="AG54" s="2"/>
    </row>
    <row r="55" spans="31:37" ht="19.5" x14ac:dyDescent="0.25">
      <c r="AG55" s="1"/>
    </row>
    <row r="56" spans="31:37" ht="19.5" x14ac:dyDescent="0.25">
      <c r="AE56">
        <f>400/1.5</f>
        <v>266.66666666666669</v>
      </c>
      <c r="AG56" s="1"/>
    </row>
    <row r="57" spans="31:37" ht="55.9" customHeight="1" x14ac:dyDescent="0.25">
      <c r="AG57" s="1"/>
    </row>
    <row r="58" spans="31:37" ht="19.5" x14ac:dyDescent="0.25">
      <c r="AH58" s="1"/>
    </row>
    <row r="59" spans="31:37" ht="19.5" x14ac:dyDescent="0.25">
      <c r="AH59" s="1"/>
    </row>
    <row r="60" spans="31:37" ht="19.5" x14ac:dyDescent="0.25">
      <c r="AF60">
        <f>266*1.5</f>
        <v>399</v>
      </c>
      <c r="AH60" s="1"/>
    </row>
    <row r="61" spans="31:37" ht="19.5" x14ac:dyDescent="0.25">
      <c r="AH61" s="1"/>
    </row>
    <row r="62" spans="31:37" ht="19.5" x14ac:dyDescent="0.25">
      <c r="AH62" s="1"/>
    </row>
    <row r="63" spans="31:37" ht="55.9" customHeight="1" x14ac:dyDescent="0.25">
      <c r="AH63" s="1"/>
    </row>
    <row r="64" spans="31:37" ht="19.5" x14ac:dyDescent="0.25">
      <c r="AK64" s="1"/>
    </row>
    <row r="65" spans="29:40" ht="19.5" x14ac:dyDescent="0.25">
      <c r="AK65" s="1"/>
    </row>
    <row r="66" spans="29:40" ht="19.5" x14ac:dyDescent="0.25">
      <c r="AM66" s="1"/>
    </row>
    <row r="67" spans="29:40" ht="21" customHeight="1" x14ac:dyDescent="0.25">
      <c r="AC67" s="2"/>
      <c r="AN67" s="1"/>
    </row>
    <row r="68" spans="29:40" ht="21" customHeight="1" x14ac:dyDescent="0.25">
      <c r="AL68" s="1"/>
    </row>
    <row r="69" spans="29:40" ht="19.5" x14ac:dyDescent="0.25">
      <c r="AJ69" s="1"/>
    </row>
    <row r="70" spans="29:40" ht="19.5" x14ac:dyDescent="0.25">
      <c r="AJ70" s="1"/>
    </row>
    <row r="71" spans="29:40" ht="19.5" x14ac:dyDescent="0.25">
      <c r="AJ71" s="1"/>
    </row>
    <row r="72" spans="29:40" ht="19.5" x14ac:dyDescent="0.25">
      <c r="AN72" s="1"/>
    </row>
    <row r="73" spans="29:40" ht="19.5" x14ac:dyDescent="0.25">
      <c r="AN73" s="1"/>
    </row>
    <row r="74" spans="29:40" ht="20.25" thickBot="1" x14ac:dyDescent="0.3">
      <c r="AC74" s="1"/>
    </row>
    <row r="75" spans="29:40" ht="19.5" x14ac:dyDescent="0.25">
      <c r="AC75" s="14" t="s">
        <v>5</v>
      </c>
    </row>
    <row r="76" spans="29:40" ht="20.25" thickBot="1" x14ac:dyDescent="0.3">
      <c r="AC76" s="15" t="s">
        <v>32</v>
      </c>
    </row>
    <row r="77" spans="29:40" ht="20.25" thickBot="1" x14ac:dyDescent="0.3">
      <c r="AC77" s="8" t="e">
        <f>#REF!/10</f>
        <v>#REF!</v>
      </c>
    </row>
    <row r="78" spans="29:40" ht="20.25" thickBot="1" x14ac:dyDescent="0.3">
      <c r="AC78" s="8" t="e">
        <f>#REF!/10</f>
        <v>#REF!</v>
      </c>
    </row>
    <row r="79" spans="29:40" ht="20.25" thickBot="1" x14ac:dyDescent="0.3">
      <c r="AC79" s="8" t="e">
        <f>#REF!/10</f>
        <v>#REF!</v>
      </c>
    </row>
    <row r="82" spans="29:29" ht="20.25" thickBot="1" x14ac:dyDescent="0.3">
      <c r="AC82" s="1"/>
    </row>
    <row r="83" spans="29:29" ht="19.5" x14ac:dyDescent="0.25">
      <c r="AC83" s="14" t="s">
        <v>5</v>
      </c>
    </row>
    <row r="84" spans="29:29" ht="18.600000000000001" customHeight="1" thickBot="1" x14ac:dyDescent="0.3">
      <c r="AC84" s="15" t="s">
        <v>32</v>
      </c>
    </row>
    <row r="85" spans="29:29" ht="19.149999999999999" customHeight="1" thickBot="1" x14ac:dyDescent="0.3">
      <c r="AC85" s="8" t="e">
        <f>#REF!/10</f>
        <v>#REF!</v>
      </c>
    </row>
    <row r="86" spans="29:29" ht="20.25" thickBot="1" x14ac:dyDescent="0.3">
      <c r="AC86" s="8" t="e">
        <f>#REF!/10</f>
        <v>#REF!</v>
      </c>
    </row>
    <row r="87" spans="29:29" ht="20.25" thickBot="1" x14ac:dyDescent="0.3">
      <c r="AC87" s="8" t="e">
        <f>#REF!/10</f>
        <v>#REF!</v>
      </c>
    </row>
    <row r="90" spans="29:29" ht="20.25" thickBot="1" x14ac:dyDescent="0.3">
      <c r="AC90" s="1"/>
    </row>
    <row r="91" spans="29:29" ht="19.5" x14ac:dyDescent="0.25">
      <c r="AC91" s="14" t="s">
        <v>5</v>
      </c>
    </row>
    <row r="92" spans="29:29" ht="20.25" thickBot="1" x14ac:dyDescent="0.3">
      <c r="AC92" s="15" t="s">
        <v>32</v>
      </c>
    </row>
    <row r="93" spans="29:29" ht="20.25" thickBot="1" x14ac:dyDescent="0.3">
      <c r="AC93" s="8" t="e">
        <f>#REF!/10</f>
        <v>#REF!</v>
      </c>
    </row>
    <row r="94" spans="29:29" ht="20.25" thickBot="1" x14ac:dyDescent="0.3">
      <c r="AC94" s="8" t="e">
        <f>#REF!/10</f>
        <v>#REF!</v>
      </c>
    </row>
    <row r="95" spans="29:29" ht="20.25" thickBot="1" x14ac:dyDescent="0.3">
      <c r="AC95" s="8" t="e">
        <f>#REF!/10</f>
        <v>#REF!</v>
      </c>
    </row>
    <row r="98" spans="29:34" ht="19.5" x14ac:dyDescent="0.25">
      <c r="AC98" s="1"/>
      <c r="AD98" s="1"/>
    </row>
    <row r="100" spans="29:34" x14ac:dyDescent="0.25">
      <c r="AG100">
        <f>3.5*3</f>
        <v>10.5</v>
      </c>
    </row>
    <row r="102" spans="29:34" x14ac:dyDescent="0.25">
      <c r="AH102">
        <f>10.5/12</f>
        <v>0.875</v>
      </c>
    </row>
  </sheetData>
  <sheetProtection algorithmName="SHA-512" hashValue="FC6pZqAmkdpooSYFYwi/FQX7JacXIkgNaDKEGcwELjrYzHcB7BikaA7nS7ZoeVHwBryLJRHiphT7JuoqK7FwNQ==" saltValue="IFRLRnih4Aol7RGhagQCUg==" spinCount="100000" sheet="1" objects="1" scenarios="1"/>
  <mergeCells count="1">
    <mergeCell ref="G16:G17"/>
  </mergeCells>
  <pageMargins left="0.7" right="0.7" top="0.75" bottom="0.75" header="0.3" footer="0.3"/>
  <pageSetup paperSize="9" scale="76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AF102"/>
  <sheetViews>
    <sheetView zoomScale="50" zoomScaleNormal="50" workbookViewId="0">
      <selection activeCell="K10" sqref="K10:N10"/>
    </sheetView>
  </sheetViews>
  <sheetFormatPr baseColWidth="10" defaultColWidth="8.85546875" defaultRowHeight="15" x14ac:dyDescent="0.25"/>
  <cols>
    <col min="6" max="6" width="2.85546875" customWidth="1"/>
    <col min="7" max="7" width="25.7109375" customWidth="1"/>
    <col min="8" max="8" width="21.5703125" customWidth="1"/>
    <col min="9" max="9" width="19.85546875" customWidth="1"/>
    <col min="10" max="10" width="17.42578125" customWidth="1"/>
    <col min="11" max="11" width="18.28515625" customWidth="1"/>
    <col min="12" max="12" width="22.7109375" customWidth="1"/>
    <col min="13" max="13" width="22.28515625" customWidth="1"/>
    <col min="14" max="14" width="20.5703125" customWidth="1"/>
    <col min="15" max="16" width="26" customWidth="1"/>
    <col min="17" max="17" width="24" customWidth="1"/>
    <col min="18" max="18" width="19.5703125" customWidth="1"/>
    <col min="19" max="19" width="14.5703125" customWidth="1"/>
    <col min="20" max="20" width="20.5703125" customWidth="1"/>
    <col min="21" max="21" width="24" customWidth="1"/>
    <col min="22" max="22" width="18" customWidth="1"/>
    <col min="23" max="27" width="20.5703125" customWidth="1"/>
    <col min="28" max="28" width="18.42578125" customWidth="1"/>
    <col min="29" max="29" width="23" customWidth="1"/>
    <col min="30" max="30" width="24.7109375" customWidth="1"/>
    <col min="31" max="31" width="22.140625" customWidth="1"/>
    <col min="32" max="32" width="16.85546875" customWidth="1"/>
    <col min="33" max="33" width="2.7109375" customWidth="1"/>
  </cols>
  <sheetData>
    <row r="4" spans="6:32" ht="19.5" x14ac:dyDescent="0.25">
      <c r="F4" s="1"/>
      <c r="K4" s="2"/>
      <c r="L4" s="2"/>
      <c r="AD4" s="2"/>
      <c r="AE4" s="1"/>
    </row>
    <row r="5" spans="6:32" ht="19.5" x14ac:dyDescent="0.25">
      <c r="AE5" s="1"/>
      <c r="AF5" s="1"/>
    </row>
    <row r="6" spans="6:32" ht="19.5" x14ac:dyDescent="0.25"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F6" s="2"/>
    </row>
    <row r="7" spans="6:32" ht="19.5" x14ac:dyDescent="0.25">
      <c r="F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E7" s="2"/>
    </row>
    <row r="8" spans="6:32" ht="19.5" x14ac:dyDescent="0.25">
      <c r="F8" s="1"/>
      <c r="O8" s="17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E8" s="2"/>
    </row>
    <row r="9" spans="6:32" ht="19.5" x14ac:dyDescent="0.25">
      <c r="F9" s="1"/>
      <c r="J9" s="16"/>
      <c r="M9" s="1"/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2"/>
      <c r="AC9" s="2"/>
      <c r="AE9" s="2"/>
    </row>
    <row r="10" spans="6:32" ht="26.25" x14ac:dyDescent="0.4">
      <c r="F10" s="1"/>
      <c r="G10" s="2"/>
      <c r="H10" s="2"/>
      <c r="I10" s="17"/>
      <c r="J10" s="17"/>
      <c r="K10" s="160" t="s">
        <v>401</v>
      </c>
      <c r="L10" s="160"/>
      <c r="M10" s="160"/>
      <c r="N10" s="161"/>
      <c r="O10" s="1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E10" s="2"/>
    </row>
    <row r="11" spans="6:32" ht="19.5" x14ac:dyDescent="0.25">
      <c r="F11" s="2"/>
      <c r="G11" s="2"/>
      <c r="H11" s="2"/>
      <c r="I11" s="2"/>
      <c r="J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E11" s="1"/>
    </row>
    <row r="12" spans="6:32" ht="26.25" x14ac:dyDescent="0.4">
      <c r="F12" s="1"/>
      <c r="G12" s="1"/>
      <c r="H12" s="100" t="s">
        <v>372</v>
      </c>
      <c r="I12" s="100"/>
      <c r="J12" s="100"/>
      <c r="K12" s="31"/>
      <c r="L12" s="10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E12" s="1"/>
    </row>
    <row r="13" spans="6:32" ht="19.5" x14ac:dyDescent="0.25">
      <c r="F13" s="1"/>
      <c r="G13" s="1"/>
      <c r="H13" s="1"/>
      <c r="I13" s="1"/>
      <c r="J13" s="1"/>
      <c r="K13" s="3"/>
      <c r="L13" s="3"/>
      <c r="M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E13" s="1"/>
    </row>
    <row r="14" spans="6:32" ht="25.5" x14ac:dyDescent="0.35">
      <c r="F14" s="1"/>
      <c r="G14" s="1"/>
      <c r="H14" s="99" t="s">
        <v>45</v>
      </c>
      <c r="I14" s="20"/>
      <c r="J14" s="1"/>
      <c r="K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6:32" ht="20.25" thickBot="1" x14ac:dyDescent="0.3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6:32" ht="19.5" x14ac:dyDescent="0.25">
      <c r="F16" s="1"/>
      <c r="G16" s="191" t="s">
        <v>0</v>
      </c>
      <c r="H16" s="9" t="s">
        <v>2</v>
      </c>
      <c r="I16" s="9" t="s">
        <v>4</v>
      </c>
      <c r="J16" s="9" t="s">
        <v>19</v>
      </c>
      <c r="K16" s="12" t="s">
        <v>14</v>
      </c>
      <c r="L16" s="50" t="s">
        <v>60</v>
      </c>
      <c r="M16" s="50" t="s">
        <v>60</v>
      </c>
      <c r="N16" s="50" t="s">
        <v>60</v>
      </c>
      <c r="O16" s="45" t="s">
        <v>60</v>
      </c>
      <c r="P16" s="45" t="s">
        <v>60</v>
      </c>
      <c r="Q16" s="45" t="s">
        <v>60</v>
      </c>
      <c r="R16" s="11"/>
    </row>
    <row r="17" spans="6:23" ht="23.25" thickBot="1" x14ac:dyDescent="0.3">
      <c r="F17" s="1"/>
      <c r="G17" s="192"/>
      <c r="H17" s="10" t="s">
        <v>387</v>
      </c>
      <c r="I17" s="10" t="s">
        <v>387</v>
      </c>
      <c r="J17" s="10" t="s">
        <v>387</v>
      </c>
      <c r="K17" s="10" t="s">
        <v>387</v>
      </c>
      <c r="L17" s="51" t="s">
        <v>61</v>
      </c>
      <c r="M17" s="51" t="s">
        <v>70</v>
      </c>
      <c r="N17" s="51" t="s">
        <v>71</v>
      </c>
      <c r="O17" s="46" t="s">
        <v>62</v>
      </c>
      <c r="P17" s="46" t="s">
        <v>334</v>
      </c>
      <c r="Q17" s="47" t="s">
        <v>335</v>
      </c>
    </row>
    <row r="18" spans="6:23" ht="55.9" customHeight="1" thickBot="1" x14ac:dyDescent="0.3">
      <c r="F18" s="4"/>
      <c r="G18" s="7" t="s">
        <v>196</v>
      </c>
      <c r="H18" s="55"/>
      <c r="I18" s="55"/>
      <c r="J18" s="55"/>
      <c r="K18" s="55"/>
      <c r="L18" s="53">
        <f>(((H18*I18*J18*K18)*350)/50)*1.05</f>
        <v>0</v>
      </c>
      <c r="M18" s="53">
        <f>H18*I18*J18*K18*0.8*1.05</f>
        <v>0</v>
      </c>
      <c r="N18" s="53">
        <f>H18*I18*J18*K18*0.4*1.05</f>
        <v>0</v>
      </c>
      <c r="O18" s="54">
        <f t="shared" ref="O18:O27" si="0">L18/20</f>
        <v>0</v>
      </c>
      <c r="P18" s="54">
        <f>(M18*1700)/1000</f>
        <v>0</v>
      </c>
      <c r="Q18" s="54">
        <f>(N18*1600)/1000</f>
        <v>0</v>
      </c>
      <c r="S18" s="5"/>
    </row>
    <row r="19" spans="6:23" ht="55.9" customHeight="1" thickBot="1" x14ac:dyDescent="0.3">
      <c r="F19" s="4"/>
      <c r="G19" s="7" t="s">
        <v>197</v>
      </c>
      <c r="H19" s="55"/>
      <c r="I19" s="55"/>
      <c r="J19" s="55"/>
      <c r="K19" s="55"/>
      <c r="L19" s="53">
        <f t="shared" ref="L19:L27" si="1">(((H19*I19*J19*K19)*350)/50)*1.05</f>
        <v>0</v>
      </c>
      <c r="M19" s="53">
        <f t="shared" ref="M19:M27" si="2">H19*I19*J19*K19*0.8*1.05</f>
        <v>0</v>
      </c>
      <c r="N19" s="53">
        <f t="shared" ref="N19:N27" si="3">H19*I19*J19*K19*0.4*1.05</f>
        <v>0</v>
      </c>
      <c r="O19" s="54">
        <f t="shared" si="0"/>
        <v>0</v>
      </c>
      <c r="P19" s="54">
        <f t="shared" ref="P19:P27" si="4">(M19*1700)/1000</f>
        <v>0</v>
      </c>
      <c r="Q19" s="54">
        <f t="shared" ref="Q19:Q26" si="5">(N19*1600)/1000</f>
        <v>0</v>
      </c>
      <c r="R19" s="1"/>
      <c r="U19" s="5"/>
    </row>
    <row r="20" spans="6:23" ht="55.9" customHeight="1" thickBot="1" x14ac:dyDescent="0.3">
      <c r="F20" s="4"/>
      <c r="G20" s="7" t="s">
        <v>198</v>
      </c>
      <c r="H20" s="55"/>
      <c r="I20" s="55"/>
      <c r="J20" s="55"/>
      <c r="K20" s="55"/>
      <c r="L20" s="53">
        <f t="shared" si="1"/>
        <v>0</v>
      </c>
      <c r="M20" s="53">
        <f t="shared" si="2"/>
        <v>0</v>
      </c>
      <c r="N20" s="53">
        <f t="shared" si="3"/>
        <v>0</v>
      </c>
      <c r="O20" s="54">
        <f t="shared" si="0"/>
        <v>0</v>
      </c>
      <c r="P20" s="54">
        <f t="shared" si="4"/>
        <v>0</v>
      </c>
      <c r="Q20" s="54">
        <f t="shared" si="5"/>
        <v>0</v>
      </c>
      <c r="R20" s="1"/>
      <c r="U20" s="5"/>
    </row>
    <row r="21" spans="6:23" ht="55.9" customHeight="1" thickBot="1" x14ac:dyDescent="0.3">
      <c r="F21" s="4"/>
      <c r="G21" s="7" t="s">
        <v>199</v>
      </c>
      <c r="H21" s="55"/>
      <c r="I21" s="55"/>
      <c r="J21" s="55"/>
      <c r="K21" s="55"/>
      <c r="L21" s="53">
        <f t="shared" si="1"/>
        <v>0</v>
      </c>
      <c r="M21" s="53">
        <f t="shared" si="2"/>
        <v>0</v>
      </c>
      <c r="N21" s="53">
        <f t="shared" si="3"/>
        <v>0</v>
      </c>
      <c r="O21" s="54">
        <f t="shared" si="0"/>
        <v>0</v>
      </c>
      <c r="P21" s="54">
        <f t="shared" si="4"/>
        <v>0</v>
      </c>
      <c r="Q21" s="54">
        <f t="shared" si="5"/>
        <v>0</v>
      </c>
      <c r="R21" s="2"/>
      <c r="U21" s="5"/>
    </row>
    <row r="22" spans="6:23" ht="55.9" customHeight="1" thickBot="1" x14ac:dyDescent="0.3">
      <c r="F22" s="4"/>
      <c r="G22" s="7" t="s">
        <v>200</v>
      </c>
      <c r="H22" s="55"/>
      <c r="I22" s="55"/>
      <c r="J22" s="55"/>
      <c r="K22" s="55"/>
      <c r="L22" s="53">
        <f t="shared" si="1"/>
        <v>0</v>
      </c>
      <c r="M22" s="53">
        <f t="shared" si="2"/>
        <v>0</v>
      </c>
      <c r="N22" s="53">
        <f t="shared" si="3"/>
        <v>0</v>
      </c>
      <c r="O22" s="54">
        <f t="shared" si="0"/>
        <v>0</v>
      </c>
      <c r="P22" s="54">
        <f t="shared" si="4"/>
        <v>0</v>
      </c>
      <c r="Q22" s="54">
        <f t="shared" si="5"/>
        <v>0</v>
      </c>
      <c r="R22" s="1"/>
      <c r="U22" s="16"/>
    </row>
    <row r="23" spans="6:23" ht="55.9" customHeight="1" thickBot="1" x14ac:dyDescent="0.3">
      <c r="F23" s="4"/>
      <c r="G23" s="7" t="s">
        <v>201</v>
      </c>
      <c r="H23" s="55"/>
      <c r="I23" s="55"/>
      <c r="J23" s="55"/>
      <c r="K23" s="55"/>
      <c r="L23" s="53">
        <f t="shared" si="1"/>
        <v>0</v>
      </c>
      <c r="M23" s="53">
        <f t="shared" si="2"/>
        <v>0</v>
      </c>
      <c r="N23" s="53">
        <f t="shared" si="3"/>
        <v>0</v>
      </c>
      <c r="O23" s="54">
        <f t="shared" si="0"/>
        <v>0</v>
      </c>
      <c r="P23" s="54">
        <f t="shared" si="4"/>
        <v>0</v>
      </c>
      <c r="Q23" s="54">
        <f t="shared" si="5"/>
        <v>0</v>
      </c>
    </row>
    <row r="24" spans="6:23" ht="55.9" customHeight="1" thickBot="1" x14ac:dyDescent="0.3">
      <c r="F24" s="4"/>
      <c r="G24" s="7" t="s">
        <v>202</v>
      </c>
      <c r="H24" s="55"/>
      <c r="I24" s="55"/>
      <c r="J24" s="55"/>
      <c r="K24" s="55"/>
      <c r="L24" s="53">
        <f t="shared" si="1"/>
        <v>0</v>
      </c>
      <c r="M24" s="53">
        <f t="shared" si="2"/>
        <v>0</v>
      </c>
      <c r="N24" s="53">
        <f t="shared" si="3"/>
        <v>0</v>
      </c>
      <c r="O24" s="54">
        <f t="shared" si="0"/>
        <v>0</v>
      </c>
      <c r="P24" s="54">
        <f t="shared" si="4"/>
        <v>0</v>
      </c>
      <c r="Q24" s="54">
        <f t="shared" si="5"/>
        <v>0</v>
      </c>
    </row>
    <row r="25" spans="6:23" ht="55.9" customHeight="1" thickBot="1" x14ac:dyDescent="0.3">
      <c r="F25" s="1"/>
      <c r="G25" s="7" t="s">
        <v>203</v>
      </c>
      <c r="H25" s="55"/>
      <c r="I25" s="55"/>
      <c r="J25" s="55"/>
      <c r="K25" s="55"/>
      <c r="L25" s="53">
        <f t="shared" si="1"/>
        <v>0</v>
      </c>
      <c r="M25" s="53">
        <f t="shared" si="2"/>
        <v>0</v>
      </c>
      <c r="N25" s="53">
        <f t="shared" si="3"/>
        <v>0</v>
      </c>
      <c r="O25" s="54">
        <f t="shared" si="0"/>
        <v>0</v>
      </c>
      <c r="P25" s="54">
        <f t="shared" si="4"/>
        <v>0</v>
      </c>
      <c r="Q25" s="54">
        <f t="shared" si="5"/>
        <v>0</v>
      </c>
    </row>
    <row r="26" spans="6:23" ht="55.9" customHeight="1" thickBot="1" x14ac:dyDescent="0.3">
      <c r="F26" s="1"/>
      <c r="G26" s="7" t="s">
        <v>204</v>
      </c>
      <c r="H26" s="55"/>
      <c r="I26" s="55"/>
      <c r="J26" s="55"/>
      <c r="K26" s="55"/>
      <c r="L26" s="53">
        <f t="shared" si="1"/>
        <v>0</v>
      </c>
      <c r="M26" s="53">
        <f t="shared" si="2"/>
        <v>0</v>
      </c>
      <c r="N26" s="53">
        <f t="shared" si="3"/>
        <v>0</v>
      </c>
      <c r="O26" s="54">
        <f t="shared" si="0"/>
        <v>0</v>
      </c>
      <c r="P26" s="54">
        <f t="shared" si="4"/>
        <v>0</v>
      </c>
      <c r="Q26" s="54">
        <f t="shared" si="5"/>
        <v>0</v>
      </c>
      <c r="S26" s="1"/>
      <c r="V26" s="1"/>
      <c r="W26" s="1"/>
    </row>
    <row r="27" spans="6:23" ht="55.9" customHeight="1" thickBot="1" x14ac:dyDescent="0.3">
      <c r="F27" s="1"/>
      <c r="G27" s="7" t="s">
        <v>205</v>
      </c>
      <c r="H27" s="55"/>
      <c r="I27" s="55"/>
      <c r="J27" s="55"/>
      <c r="K27" s="55"/>
      <c r="L27" s="53">
        <f t="shared" si="1"/>
        <v>0</v>
      </c>
      <c r="M27" s="53">
        <f t="shared" si="2"/>
        <v>0</v>
      </c>
      <c r="N27" s="53">
        <f t="shared" si="3"/>
        <v>0</v>
      </c>
      <c r="O27" s="54">
        <f t="shared" si="0"/>
        <v>0</v>
      </c>
      <c r="P27" s="54">
        <f t="shared" si="4"/>
        <v>0</v>
      </c>
      <c r="Q27" s="52">
        <f t="shared" ref="Q27" si="6">(N27*1600)/1000</f>
        <v>0</v>
      </c>
      <c r="S27" s="1"/>
      <c r="V27" s="1"/>
    </row>
    <row r="28" spans="6:23" ht="20.25" thickBot="1" x14ac:dyDescent="0.3">
      <c r="F28" s="1"/>
      <c r="G28" s="62"/>
      <c r="S28" s="2"/>
    </row>
    <row r="29" spans="6:23" ht="31.15" customHeight="1" thickBot="1" x14ac:dyDescent="0.3">
      <c r="F29" s="4"/>
      <c r="K29" s="75" t="s">
        <v>223</v>
      </c>
      <c r="L29" s="73">
        <f>SUM(L18:L27)</f>
        <v>0</v>
      </c>
      <c r="M29" s="73">
        <f t="shared" ref="M29:Q29" si="7">SUM(M18:M27)</f>
        <v>0</v>
      </c>
      <c r="N29" s="73">
        <f t="shared" si="7"/>
        <v>0</v>
      </c>
      <c r="O29" s="73">
        <f t="shared" si="7"/>
        <v>0</v>
      </c>
      <c r="P29" s="73">
        <f t="shared" si="7"/>
        <v>0</v>
      </c>
      <c r="Q29" s="73">
        <f t="shared" si="7"/>
        <v>0</v>
      </c>
      <c r="S29" s="1"/>
    </row>
    <row r="30" spans="6:23" ht="19.5" x14ac:dyDescent="0.25">
      <c r="F30" s="4"/>
      <c r="K30" s="62"/>
    </row>
    <row r="31" spans="6:23" ht="19.5" x14ac:dyDescent="0.25">
      <c r="F31" s="4"/>
      <c r="O31" s="24"/>
    </row>
    <row r="32" spans="6:23" ht="55.9" customHeight="1" x14ac:dyDescent="0.25">
      <c r="F32" s="4"/>
    </row>
    <row r="33" spans="6:25" ht="19.5" x14ac:dyDescent="0.25">
      <c r="F33" s="4"/>
      <c r="U33" s="1"/>
      <c r="V33" s="1"/>
      <c r="Y33" s="1"/>
    </row>
    <row r="34" spans="6:25" ht="19.5" x14ac:dyDescent="0.25">
      <c r="F34" s="4"/>
      <c r="V34" s="1"/>
      <c r="Y34" s="1"/>
    </row>
    <row r="35" spans="6:25" ht="19.5" x14ac:dyDescent="0.25">
      <c r="F35" s="4"/>
      <c r="V35" s="1"/>
      <c r="Y35" s="1"/>
    </row>
    <row r="36" spans="6:25" ht="19.5" x14ac:dyDescent="0.25">
      <c r="Y36" s="1"/>
    </row>
    <row r="37" spans="6:25" ht="19.5" x14ac:dyDescent="0.25">
      <c r="W37" s="1"/>
    </row>
    <row r="38" spans="6:25" ht="19.5" x14ac:dyDescent="0.25">
      <c r="W38" s="1"/>
    </row>
    <row r="39" spans="6:25" ht="55.9" customHeight="1" x14ac:dyDescent="0.25">
      <c r="W39" s="1"/>
    </row>
    <row r="40" spans="6:25" ht="19.5" x14ac:dyDescent="0.25">
      <c r="Y40" s="1"/>
    </row>
    <row r="41" spans="6:25" ht="19.5" x14ac:dyDescent="0.25">
      <c r="W41">
        <f>1.5/W42</f>
        <v>25</v>
      </c>
      <c r="Y41" s="1"/>
    </row>
    <row r="42" spans="6:25" x14ac:dyDescent="0.25">
      <c r="W42">
        <f>0.2*0.3</f>
        <v>0.06</v>
      </c>
    </row>
    <row r="43" spans="6:25" ht="19.5" x14ac:dyDescent="0.25">
      <c r="F43" s="4"/>
      <c r="T43" s="1"/>
      <c r="U43" s="1">
        <f>W42/1.5</f>
        <v>0.04</v>
      </c>
      <c r="V43" s="1"/>
      <c r="W43" s="1"/>
      <c r="X43" s="4"/>
      <c r="Y43" s="1"/>
    </row>
    <row r="44" spans="6:25" ht="19.5" x14ac:dyDescent="0.25">
      <c r="F44" s="1"/>
      <c r="T44" s="1"/>
      <c r="U44" s="1">
        <f>1/U45</f>
        <v>138.88888888888889</v>
      </c>
      <c r="V44" s="1"/>
      <c r="W44" s="1"/>
      <c r="X44" s="1"/>
      <c r="Y44" s="1"/>
    </row>
    <row r="45" spans="6:25" ht="55.9" customHeight="1" x14ac:dyDescent="0.25">
      <c r="F45" s="4"/>
      <c r="U45">
        <f>0.3*0.3*0.08</f>
        <v>7.1999999999999998E-3</v>
      </c>
    </row>
    <row r="46" spans="6:25" ht="19.5" x14ac:dyDescent="0.25">
      <c r="F46" s="4"/>
      <c r="W46">
        <f>U45/1</f>
        <v>7.1999999999999998E-3</v>
      </c>
    </row>
    <row r="47" spans="6:25" ht="19.5" x14ac:dyDescent="0.25">
      <c r="F47" s="4"/>
    </row>
    <row r="48" spans="6:25" x14ac:dyDescent="0.25">
      <c r="U48">
        <f>1.5/0.2*0.3</f>
        <v>2.25</v>
      </c>
    </row>
    <row r="49" spans="21:27" ht="19.5" x14ac:dyDescent="0.25">
      <c r="W49" s="1"/>
    </row>
    <row r="50" spans="21:27" ht="19.5" x14ac:dyDescent="0.25">
      <c r="W50" s="2"/>
    </row>
    <row r="51" spans="21:27" ht="55.9" customHeight="1" x14ac:dyDescent="0.25">
      <c r="W51" s="2"/>
    </row>
    <row r="52" spans="21:27" ht="19.5" x14ac:dyDescent="0.25">
      <c r="U52">
        <f>U54/U53</f>
        <v>110.97058823529412</v>
      </c>
      <c r="V52">
        <f>1/U53</f>
        <v>98.039215686274503</v>
      </c>
      <c r="W52" s="2"/>
    </row>
    <row r="53" spans="21:27" ht="19.5" x14ac:dyDescent="0.25">
      <c r="U53">
        <f>0.17*0.3*0.2</f>
        <v>1.0200000000000001E-2</v>
      </c>
      <c r="W53" s="2"/>
    </row>
    <row r="54" spans="21:27" ht="19.5" x14ac:dyDescent="0.25">
      <c r="U54">
        <f>1.1*1.05*0.98</f>
        <v>1.1319000000000001</v>
      </c>
      <c r="W54" s="2"/>
    </row>
    <row r="55" spans="21:27" ht="19.5" x14ac:dyDescent="0.25">
      <c r="W55" s="1"/>
    </row>
    <row r="56" spans="21:27" ht="19.5" x14ac:dyDescent="0.25">
      <c r="U56">
        <f>400/1.5</f>
        <v>266.66666666666669</v>
      </c>
      <c r="W56" s="1"/>
    </row>
    <row r="57" spans="21:27" ht="55.9" customHeight="1" x14ac:dyDescent="0.25">
      <c r="W57" s="1"/>
    </row>
    <row r="58" spans="21:27" ht="19.5" x14ac:dyDescent="0.25">
      <c r="X58" s="1"/>
    </row>
    <row r="59" spans="21:27" ht="19.5" x14ac:dyDescent="0.25">
      <c r="X59" s="1"/>
    </row>
    <row r="60" spans="21:27" ht="19.5" x14ac:dyDescent="0.25">
      <c r="V60">
        <f>266*1.5</f>
        <v>399</v>
      </c>
      <c r="X60" s="1"/>
    </row>
    <row r="61" spans="21:27" ht="19.5" x14ac:dyDescent="0.25">
      <c r="X61" s="1"/>
    </row>
    <row r="62" spans="21:27" ht="19.5" x14ac:dyDescent="0.25">
      <c r="X62" s="1"/>
    </row>
    <row r="63" spans="21:27" ht="55.9" customHeight="1" x14ac:dyDescent="0.25">
      <c r="X63" s="1"/>
    </row>
    <row r="64" spans="21:27" ht="19.5" x14ac:dyDescent="0.25">
      <c r="AA64" s="1"/>
    </row>
    <row r="65" spans="19:30" ht="19.5" x14ac:dyDescent="0.25">
      <c r="AA65" s="1"/>
    </row>
    <row r="66" spans="19:30" ht="19.5" x14ac:dyDescent="0.25">
      <c r="AC66" s="1"/>
    </row>
    <row r="67" spans="19:30" ht="21" customHeight="1" x14ac:dyDescent="0.25">
      <c r="S67" s="2"/>
      <c r="AD67" s="1"/>
    </row>
    <row r="68" spans="19:30" ht="21" customHeight="1" x14ac:dyDescent="0.25">
      <c r="AB68" s="1"/>
    </row>
    <row r="69" spans="19:30" ht="19.5" x14ac:dyDescent="0.25">
      <c r="Z69" s="1"/>
    </row>
    <row r="70" spans="19:30" ht="19.5" x14ac:dyDescent="0.25">
      <c r="Z70" s="1"/>
    </row>
    <row r="71" spans="19:30" ht="19.5" x14ac:dyDescent="0.25">
      <c r="Z71" s="1"/>
    </row>
    <row r="72" spans="19:30" ht="19.5" x14ac:dyDescent="0.25">
      <c r="AD72" s="1"/>
    </row>
    <row r="73" spans="19:30" ht="19.5" x14ac:dyDescent="0.25">
      <c r="AD73" s="1"/>
    </row>
    <row r="74" spans="19:30" ht="20.25" thickBot="1" x14ac:dyDescent="0.3">
      <c r="S74" s="1"/>
    </row>
    <row r="75" spans="19:30" ht="19.5" x14ac:dyDescent="0.25">
      <c r="S75" s="14" t="s">
        <v>5</v>
      </c>
    </row>
    <row r="76" spans="19:30" ht="20.25" thickBot="1" x14ac:dyDescent="0.3">
      <c r="S76" s="15" t="s">
        <v>32</v>
      </c>
    </row>
    <row r="77" spans="19:30" ht="20.25" thickBot="1" x14ac:dyDescent="0.3">
      <c r="S77" s="8" t="e">
        <f>#REF!/10</f>
        <v>#REF!</v>
      </c>
    </row>
    <row r="78" spans="19:30" ht="20.25" thickBot="1" x14ac:dyDescent="0.3">
      <c r="S78" s="8" t="e">
        <f>#REF!/10</f>
        <v>#REF!</v>
      </c>
    </row>
    <row r="79" spans="19:30" ht="20.25" thickBot="1" x14ac:dyDescent="0.3">
      <c r="S79" s="8" t="e">
        <f>#REF!/10</f>
        <v>#REF!</v>
      </c>
    </row>
    <row r="82" spans="19:19" ht="20.25" thickBot="1" x14ac:dyDescent="0.3">
      <c r="S82" s="1"/>
    </row>
    <row r="83" spans="19:19" ht="19.5" x14ac:dyDescent="0.25">
      <c r="S83" s="14" t="s">
        <v>5</v>
      </c>
    </row>
    <row r="84" spans="19:19" ht="18.600000000000001" customHeight="1" thickBot="1" x14ac:dyDescent="0.3">
      <c r="S84" s="15" t="s">
        <v>32</v>
      </c>
    </row>
    <row r="85" spans="19:19" ht="19.149999999999999" customHeight="1" thickBot="1" x14ac:dyDescent="0.3">
      <c r="S85" s="8" t="e">
        <f>#REF!/10</f>
        <v>#REF!</v>
      </c>
    </row>
    <row r="86" spans="19:19" ht="20.25" thickBot="1" x14ac:dyDescent="0.3">
      <c r="S86" s="8" t="e">
        <f>#REF!/10</f>
        <v>#REF!</v>
      </c>
    </row>
    <row r="87" spans="19:19" ht="20.25" thickBot="1" x14ac:dyDescent="0.3">
      <c r="S87" s="8" t="e">
        <f>#REF!/10</f>
        <v>#REF!</v>
      </c>
    </row>
    <row r="90" spans="19:19" ht="20.25" thickBot="1" x14ac:dyDescent="0.3">
      <c r="S90" s="1"/>
    </row>
    <row r="91" spans="19:19" ht="19.5" x14ac:dyDescent="0.25">
      <c r="S91" s="14" t="s">
        <v>5</v>
      </c>
    </row>
    <row r="92" spans="19:19" ht="20.25" thickBot="1" x14ac:dyDescent="0.3">
      <c r="S92" s="15" t="s">
        <v>32</v>
      </c>
    </row>
    <row r="93" spans="19:19" ht="20.25" thickBot="1" x14ac:dyDescent="0.3">
      <c r="S93" s="8" t="e">
        <f>#REF!/10</f>
        <v>#REF!</v>
      </c>
    </row>
    <row r="94" spans="19:19" ht="20.25" thickBot="1" x14ac:dyDescent="0.3">
      <c r="S94" s="8" t="e">
        <f>#REF!/10</f>
        <v>#REF!</v>
      </c>
    </row>
    <row r="95" spans="19:19" ht="20.25" thickBot="1" x14ac:dyDescent="0.3">
      <c r="S95" s="8" t="e">
        <f>#REF!/10</f>
        <v>#REF!</v>
      </c>
    </row>
    <row r="98" spans="19:24" ht="19.5" x14ac:dyDescent="0.25">
      <c r="S98" s="1"/>
      <c r="T98" s="1"/>
    </row>
    <row r="100" spans="19:24" x14ac:dyDescent="0.25">
      <c r="W100">
        <f>3.5*3</f>
        <v>10.5</v>
      </c>
    </row>
    <row r="102" spans="19:24" x14ac:dyDescent="0.25">
      <c r="X102">
        <f>10.5/12</f>
        <v>0.875</v>
      </c>
    </row>
  </sheetData>
  <sheetProtection algorithmName="SHA-512" hashValue="VWgg1zLDFQoFQCStmp2W2XM478kr2onNFG5o3+U4jUoUiA3PjwARG4PTB4ifydktPegpTSfWEuXdd+jIXiKmFA==" saltValue="uNazDGMFoLfi4j+IuGQitA==" spinCount="100000" sheet="1" objects="1" scenarios="1"/>
  <mergeCells count="1">
    <mergeCell ref="G16:G17"/>
  </mergeCells>
  <pageMargins left="0.7" right="0.7" top="0.75" bottom="0.75" header="0.3" footer="0.3"/>
  <pageSetup paperSize="9" scale="76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32"/>
  <sheetViews>
    <sheetView tabSelected="1" topLeftCell="A14" zoomScale="70" zoomScaleNormal="70" workbookViewId="0">
      <selection activeCell="C8" sqref="C8:L31"/>
    </sheetView>
  </sheetViews>
  <sheetFormatPr baseColWidth="10" defaultColWidth="10.7109375" defaultRowHeight="15" x14ac:dyDescent="0.25"/>
  <cols>
    <col min="3" max="3" width="26.140625" customWidth="1"/>
    <col min="4" max="4" width="21.85546875" customWidth="1"/>
    <col min="5" max="5" width="19.7109375" customWidth="1"/>
    <col min="6" max="6" width="16.5703125" customWidth="1"/>
    <col min="7" max="7" width="17" customWidth="1"/>
    <col min="8" max="9" width="17.28515625" customWidth="1"/>
    <col min="10" max="10" width="17.85546875" customWidth="1"/>
    <col min="11" max="11" width="14.140625" customWidth="1"/>
    <col min="12" max="12" width="15.42578125" customWidth="1"/>
  </cols>
  <sheetData>
    <row r="4" spans="3:12" ht="18.75" x14ac:dyDescent="0.3">
      <c r="D4" s="48" t="s">
        <v>336</v>
      </c>
      <c r="E4" s="31"/>
    </row>
    <row r="5" spans="3:12" ht="21" x14ac:dyDescent="0.35">
      <c r="D5" s="1"/>
      <c r="E5" s="1"/>
      <c r="G5" s="162" t="s">
        <v>402</v>
      </c>
      <c r="H5" s="162"/>
      <c r="I5" s="162"/>
      <c r="J5" s="163"/>
      <c r="K5" s="163"/>
      <c r="L5" s="2"/>
    </row>
    <row r="6" spans="3:12" ht="20.25" x14ac:dyDescent="0.3">
      <c r="C6" s="1"/>
      <c r="D6" s="102" t="s">
        <v>45</v>
      </c>
      <c r="E6" s="102"/>
      <c r="I6" s="1"/>
      <c r="J6" s="1"/>
      <c r="K6" s="1"/>
      <c r="L6" s="1"/>
    </row>
    <row r="7" spans="3:12" ht="21.75" thickBot="1" x14ac:dyDescent="0.4">
      <c r="C7" s="18" t="s">
        <v>58</v>
      </c>
      <c r="D7" s="1"/>
      <c r="E7" s="1"/>
      <c r="F7" s="1"/>
      <c r="G7" s="33" t="s">
        <v>46</v>
      </c>
      <c r="H7" s="1"/>
      <c r="I7" s="1"/>
      <c r="J7" s="1"/>
      <c r="K7" s="1"/>
      <c r="L7" s="1"/>
    </row>
    <row r="8" spans="3:12" ht="19.5" x14ac:dyDescent="0.25">
      <c r="C8" s="191" t="s">
        <v>0</v>
      </c>
      <c r="D8" s="9" t="s">
        <v>2</v>
      </c>
      <c r="E8" s="12" t="s">
        <v>19</v>
      </c>
      <c r="F8" s="12" t="s">
        <v>19</v>
      </c>
      <c r="G8" s="12" t="s">
        <v>8</v>
      </c>
      <c r="H8" s="12" t="s">
        <v>19</v>
      </c>
      <c r="I8" s="12" t="s">
        <v>8</v>
      </c>
      <c r="J8" s="12" t="s">
        <v>5</v>
      </c>
      <c r="K8" s="12" t="s">
        <v>5</v>
      </c>
      <c r="L8" s="14" t="s">
        <v>5</v>
      </c>
    </row>
    <row r="9" spans="3:12" ht="20.25" thickBot="1" x14ac:dyDescent="0.3">
      <c r="C9" s="192"/>
      <c r="D9" s="10" t="s">
        <v>3</v>
      </c>
      <c r="E9" s="13" t="s">
        <v>3</v>
      </c>
      <c r="F9" s="13" t="s">
        <v>7</v>
      </c>
      <c r="G9" s="13" t="s">
        <v>7</v>
      </c>
      <c r="H9" s="13" t="s">
        <v>9</v>
      </c>
      <c r="I9" s="13" t="s">
        <v>9</v>
      </c>
      <c r="J9" s="13" t="s">
        <v>10</v>
      </c>
      <c r="K9" s="13" t="s">
        <v>11</v>
      </c>
      <c r="L9" s="15" t="s">
        <v>6</v>
      </c>
    </row>
    <row r="10" spans="3:12" ht="20.25" thickBot="1" x14ac:dyDescent="0.3">
      <c r="C10" s="6" t="s">
        <v>108</v>
      </c>
      <c r="D10" s="55">
        <v>7.8</v>
      </c>
      <c r="E10" s="55">
        <v>2.6</v>
      </c>
      <c r="F10" s="55">
        <v>0</v>
      </c>
      <c r="G10" s="55">
        <v>0</v>
      </c>
      <c r="H10" s="55">
        <v>0.8</v>
      </c>
      <c r="I10" s="55">
        <v>0.5</v>
      </c>
      <c r="J10" s="55">
        <v>0</v>
      </c>
      <c r="K10" s="55">
        <v>2</v>
      </c>
      <c r="L10" s="144">
        <f>(D10*E10-((F10*G10*J10)+(H10*I10*K10)))*13</f>
        <v>253.24</v>
      </c>
    </row>
    <row r="11" spans="3:12" ht="20.25" thickBot="1" x14ac:dyDescent="0.3">
      <c r="C11" s="6" t="s">
        <v>109</v>
      </c>
      <c r="D11" s="55">
        <v>3.4</v>
      </c>
      <c r="E11" s="55">
        <v>2.6</v>
      </c>
      <c r="F11" s="55">
        <v>2.1</v>
      </c>
      <c r="G11" s="55">
        <v>0.9</v>
      </c>
      <c r="H11" s="55">
        <v>0</v>
      </c>
      <c r="I11" s="55">
        <v>0</v>
      </c>
      <c r="J11" s="55">
        <v>1</v>
      </c>
      <c r="K11" s="55">
        <v>0</v>
      </c>
      <c r="L11" s="144">
        <f t="shared" ref="L11:L29" si="0">(D11*E11-((F11*G11*J11)+(H11*I11*K11)))*13</f>
        <v>90.35</v>
      </c>
    </row>
    <row r="12" spans="3:12" ht="20.25" thickBot="1" x14ac:dyDescent="0.3">
      <c r="C12" s="6" t="s">
        <v>110</v>
      </c>
      <c r="D12" s="55">
        <v>2</v>
      </c>
      <c r="E12" s="55">
        <v>2.6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144">
        <f t="shared" si="0"/>
        <v>67.600000000000009</v>
      </c>
    </row>
    <row r="13" spans="3:12" ht="20.25" thickBot="1" x14ac:dyDescent="0.3">
      <c r="C13" s="6" t="s">
        <v>111</v>
      </c>
      <c r="D13" s="55">
        <v>1.6</v>
      </c>
      <c r="E13" s="55">
        <v>2.6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55">
        <v>0</v>
      </c>
      <c r="L13" s="144">
        <f t="shared" si="0"/>
        <v>54.08</v>
      </c>
    </row>
    <row r="14" spans="3:12" ht="20.25" thickBot="1" x14ac:dyDescent="0.3">
      <c r="C14" s="6" t="s">
        <v>112</v>
      </c>
      <c r="D14" s="55">
        <v>1.6</v>
      </c>
      <c r="E14" s="55">
        <v>2.6</v>
      </c>
      <c r="F14" s="55">
        <v>2.1</v>
      </c>
      <c r="G14" s="55">
        <v>0.9</v>
      </c>
      <c r="H14" s="55">
        <v>0</v>
      </c>
      <c r="I14" s="55">
        <v>0</v>
      </c>
      <c r="J14" s="55">
        <v>1</v>
      </c>
      <c r="K14" s="55">
        <v>0</v>
      </c>
      <c r="L14" s="144">
        <f t="shared" si="0"/>
        <v>29.51</v>
      </c>
    </row>
    <row r="15" spans="3:12" ht="20.25" thickBot="1" x14ac:dyDescent="0.3">
      <c r="C15" s="6" t="s">
        <v>113</v>
      </c>
      <c r="D15" s="55">
        <v>3.4</v>
      </c>
      <c r="E15" s="55">
        <v>2.6</v>
      </c>
      <c r="F15" s="55">
        <v>2.1</v>
      </c>
      <c r="G15" s="55">
        <v>0.9</v>
      </c>
      <c r="H15" s="55">
        <v>0</v>
      </c>
      <c r="I15" s="55">
        <v>0</v>
      </c>
      <c r="J15" s="55">
        <v>1</v>
      </c>
      <c r="K15" s="55">
        <v>0</v>
      </c>
      <c r="L15" s="144">
        <f t="shared" si="0"/>
        <v>90.35</v>
      </c>
    </row>
    <row r="16" spans="3:12" ht="20.25" thickBot="1" x14ac:dyDescent="0.3">
      <c r="C16" s="6" t="s">
        <v>114</v>
      </c>
      <c r="D16" s="55">
        <v>5</v>
      </c>
      <c r="E16" s="55">
        <v>2.6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144">
        <f t="shared" si="0"/>
        <v>169</v>
      </c>
    </row>
    <row r="17" spans="3:12" ht="20.25" thickBot="1" x14ac:dyDescent="0.3">
      <c r="C17" s="6" t="s">
        <v>115</v>
      </c>
      <c r="D17" s="55">
        <v>3.2</v>
      </c>
      <c r="E17" s="55">
        <v>2.6</v>
      </c>
      <c r="F17" s="55">
        <v>0</v>
      </c>
      <c r="G17" s="55">
        <v>0</v>
      </c>
      <c r="H17" s="55">
        <v>1.2</v>
      </c>
      <c r="I17" s="55">
        <v>0.8</v>
      </c>
      <c r="J17" s="55">
        <v>0</v>
      </c>
      <c r="K17" s="55">
        <v>1</v>
      </c>
      <c r="L17" s="144">
        <f t="shared" si="0"/>
        <v>95.68</v>
      </c>
    </row>
    <row r="18" spans="3:12" ht="20.25" thickBot="1" x14ac:dyDescent="0.3">
      <c r="C18" s="6" t="s">
        <v>116</v>
      </c>
      <c r="D18" s="55">
        <v>8.1999999999999993</v>
      </c>
      <c r="E18" s="55">
        <v>2.6</v>
      </c>
      <c r="F18" s="55">
        <v>0</v>
      </c>
      <c r="G18" s="55">
        <v>0</v>
      </c>
      <c r="H18" s="55">
        <v>1.2</v>
      </c>
      <c r="I18" s="55">
        <v>0.8</v>
      </c>
      <c r="J18" s="55">
        <v>0</v>
      </c>
      <c r="K18" s="55">
        <v>2</v>
      </c>
      <c r="L18" s="144">
        <f t="shared" si="0"/>
        <v>252.2</v>
      </c>
    </row>
    <row r="19" spans="3:12" ht="20.25" thickBot="1" x14ac:dyDescent="0.3">
      <c r="C19" s="6" t="s">
        <v>117</v>
      </c>
      <c r="D19" s="55">
        <v>3.4</v>
      </c>
      <c r="E19" s="55">
        <v>2.6</v>
      </c>
      <c r="F19" s="55">
        <v>2.1</v>
      </c>
      <c r="G19" s="55">
        <v>0.9</v>
      </c>
      <c r="H19" s="55">
        <v>0</v>
      </c>
      <c r="I19" s="55">
        <v>0</v>
      </c>
      <c r="J19" s="55">
        <v>1</v>
      </c>
      <c r="K19" s="55">
        <v>0</v>
      </c>
      <c r="L19" s="144">
        <f t="shared" si="0"/>
        <v>90.35</v>
      </c>
    </row>
    <row r="20" spans="3:12" ht="20.25" thickBot="1" x14ac:dyDescent="0.3">
      <c r="C20" s="6" t="s">
        <v>118</v>
      </c>
      <c r="D20" s="55">
        <v>1.5</v>
      </c>
      <c r="E20" s="55">
        <v>2.6</v>
      </c>
      <c r="F20" s="55">
        <v>0</v>
      </c>
      <c r="G20" s="55">
        <v>0</v>
      </c>
      <c r="H20" s="55">
        <v>0.5</v>
      </c>
      <c r="I20" s="55">
        <v>0.5</v>
      </c>
      <c r="J20" s="55">
        <v>0</v>
      </c>
      <c r="K20" s="55">
        <v>1</v>
      </c>
      <c r="L20" s="144">
        <f t="shared" si="0"/>
        <v>47.45</v>
      </c>
    </row>
    <row r="21" spans="3:12" ht="20.25" thickBot="1" x14ac:dyDescent="0.3">
      <c r="C21" s="6" t="s">
        <v>119</v>
      </c>
      <c r="D21" s="55">
        <v>1.5</v>
      </c>
      <c r="E21" s="55">
        <v>2.6</v>
      </c>
      <c r="F21" s="55">
        <v>2.1</v>
      </c>
      <c r="G21" s="55">
        <v>0.9</v>
      </c>
      <c r="H21" s="55">
        <v>0</v>
      </c>
      <c r="I21" s="55">
        <v>0</v>
      </c>
      <c r="J21" s="55">
        <v>1</v>
      </c>
      <c r="K21" s="55">
        <v>0</v>
      </c>
      <c r="L21" s="144">
        <f t="shared" si="0"/>
        <v>26.130000000000003</v>
      </c>
    </row>
    <row r="22" spans="3:12" ht="20.25" thickBot="1" x14ac:dyDescent="0.3">
      <c r="C22" s="6" t="s">
        <v>120</v>
      </c>
      <c r="D22" s="55">
        <v>3.4</v>
      </c>
      <c r="E22" s="55">
        <v>2.6</v>
      </c>
      <c r="F22" s="55">
        <v>2.1</v>
      </c>
      <c r="G22" s="55">
        <v>0.9</v>
      </c>
      <c r="H22" s="55">
        <v>0</v>
      </c>
      <c r="I22" s="55">
        <v>0</v>
      </c>
      <c r="J22" s="55">
        <v>1</v>
      </c>
      <c r="K22" s="55">
        <v>0</v>
      </c>
      <c r="L22" s="144">
        <f t="shared" si="0"/>
        <v>90.35</v>
      </c>
    </row>
    <row r="23" spans="3:12" ht="20.25" thickBot="1" x14ac:dyDescent="0.3">
      <c r="C23" s="6" t="s">
        <v>121</v>
      </c>
      <c r="D23" s="55">
        <v>3.4</v>
      </c>
      <c r="E23" s="55">
        <v>2.6</v>
      </c>
      <c r="F23" s="55">
        <v>0</v>
      </c>
      <c r="G23" s="55">
        <v>0</v>
      </c>
      <c r="H23" s="55">
        <v>0</v>
      </c>
      <c r="I23" s="55">
        <v>0</v>
      </c>
      <c r="J23" s="55">
        <v>1</v>
      </c>
      <c r="K23" s="55">
        <v>0</v>
      </c>
      <c r="L23" s="144">
        <f t="shared" si="0"/>
        <v>114.92</v>
      </c>
    </row>
    <row r="24" spans="3:12" ht="20.25" thickBot="1" x14ac:dyDescent="0.3">
      <c r="C24" s="6" t="s">
        <v>122</v>
      </c>
      <c r="D24" s="55">
        <v>3.2</v>
      </c>
      <c r="E24" s="55">
        <v>2.6</v>
      </c>
      <c r="F24" s="55">
        <v>0</v>
      </c>
      <c r="G24" s="55">
        <v>0</v>
      </c>
      <c r="H24" s="55">
        <v>1</v>
      </c>
      <c r="I24" s="55">
        <v>0.8</v>
      </c>
      <c r="J24" s="55">
        <v>0</v>
      </c>
      <c r="K24" s="55">
        <v>1</v>
      </c>
      <c r="L24" s="144">
        <f t="shared" si="0"/>
        <v>97.76</v>
      </c>
    </row>
    <row r="25" spans="3:12" ht="20.25" thickBot="1" x14ac:dyDescent="0.3">
      <c r="C25" s="6" t="s">
        <v>123</v>
      </c>
      <c r="D25" s="55">
        <v>3.2</v>
      </c>
      <c r="E25" s="55">
        <v>2.6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144">
        <f t="shared" si="0"/>
        <v>108.16</v>
      </c>
    </row>
    <row r="26" spans="3:12" ht="20.25" thickBot="1" x14ac:dyDescent="0.3">
      <c r="C26" s="6" t="s">
        <v>124</v>
      </c>
      <c r="D26" s="55">
        <v>3.3</v>
      </c>
      <c r="E26" s="55">
        <v>2.6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144">
        <f t="shared" si="0"/>
        <v>111.54</v>
      </c>
    </row>
    <row r="27" spans="3:12" ht="20.25" thickBot="1" x14ac:dyDescent="0.3">
      <c r="C27" s="6" t="s">
        <v>125</v>
      </c>
      <c r="D27" s="55">
        <v>3.3</v>
      </c>
      <c r="E27" s="55">
        <v>2.6</v>
      </c>
      <c r="F27" s="55">
        <v>2.1</v>
      </c>
      <c r="G27" s="55">
        <v>0.9</v>
      </c>
      <c r="H27" s="55">
        <v>0</v>
      </c>
      <c r="I27" s="55">
        <v>0</v>
      </c>
      <c r="J27" s="55">
        <v>1</v>
      </c>
      <c r="K27" s="55">
        <v>0</v>
      </c>
      <c r="L27" s="144">
        <f t="shared" si="0"/>
        <v>86.97</v>
      </c>
    </row>
    <row r="28" spans="3:12" ht="20.25" thickBot="1" x14ac:dyDescent="0.3">
      <c r="C28" s="6" t="s">
        <v>126</v>
      </c>
      <c r="D28" s="55">
        <v>8</v>
      </c>
      <c r="E28" s="55">
        <v>2.6</v>
      </c>
      <c r="F28" s="55">
        <v>0</v>
      </c>
      <c r="G28" s="55">
        <v>0</v>
      </c>
      <c r="H28" s="55">
        <v>0</v>
      </c>
      <c r="I28" s="55">
        <v>0</v>
      </c>
      <c r="J28" s="55">
        <v>0</v>
      </c>
      <c r="K28" s="55">
        <v>0</v>
      </c>
      <c r="L28" s="144">
        <f t="shared" si="0"/>
        <v>270.40000000000003</v>
      </c>
    </row>
    <row r="29" spans="3:12" ht="20.25" thickBot="1" x14ac:dyDescent="0.3">
      <c r="C29" s="6" t="s">
        <v>127</v>
      </c>
      <c r="D29" s="55"/>
      <c r="E29" s="55"/>
      <c r="F29" s="55">
        <v>0</v>
      </c>
      <c r="G29" s="55">
        <v>0</v>
      </c>
      <c r="H29" s="55">
        <v>0</v>
      </c>
      <c r="I29" s="55">
        <v>0</v>
      </c>
      <c r="J29" s="55">
        <v>0</v>
      </c>
      <c r="K29" s="55">
        <v>0</v>
      </c>
      <c r="L29" s="144">
        <f t="shared" si="0"/>
        <v>0</v>
      </c>
    </row>
    <row r="30" spans="3:12" ht="15.75" thickBot="1" x14ac:dyDescent="0.3"/>
    <row r="31" spans="3:12" ht="30.75" thickBot="1" x14ac:dyDescent="0.3">
      <c r="K31" s="75" t="s">
        <v>223</v>
      </c>
      <c r="L31" s="94">
        <f>SUM(L20:L30)</f>
        <v>953.68000000000006</v>
      </c>
    </row>
    <row r="32" spans="3:12" x14ac:dyDescent="0.25">
      <c r="K32" s="62"/>
    </row>
  </sheetData>
  <sheetProtection algorithmName="SHA-512" hashValue="6KrUrNCXrW9t6U5vz2wOfojlcNezhIJjE2X2mCm1tZls1PLyZB71PsfMZwPjckxmmcrsp+5siWTY6o1RkqChPg==" saltValue="ZBdm6tbpURJ00cbObx5UIQ==" spinCount="100000" sheet="1" objects="1" scenarios="1"/>
  <mergeCells count="1">
    <mergeCell ref="C8:C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25"/>
  <sheetViews>
    <sheetView topLeftCell="A11" workbookViewId="0">
      <selection activeCell="D12" sqref="D12:E23"/>
    </sheetView>
  </sheetViews>
  <sheetFormatPr baseColWidth="10" defaultColWidth="10.7109375" defaultRowHeight="15" x14ac:dyDescent="0.25"/>
  <cols>
    <col min="3" max="3" width="41.42578125" customWidth="1"/>
    <col min="4" max="4" width="25.7109375" customWidth="1"/>
    <col min="5" max="5" width="30.7109375" customWidth="1"/>
    <col min="6" max="6" width="17.42578125" customWidth="1"/>
    <col min="7" max="7" width="17" customWidth="1"/>
    <col min="8" max="8" width="15" customWidth="1"/>
  </cols>
  <sheetData>
    <row r="5" spans="3:7" ht="15.75" x14ac:dyDescent="0.25">
      <c r="D5" s="101" t="s">
        <v>373</v>
      </c>
      <c r="E5" s="31"/>
    </row>
    <row r="7" spans="3:7" ht="21" x14ac:dyDescent="0.35">
      <c r="C7" s="162" t="s">
        <v>403</v>
      </c>
      <c r="D7" s="162"/>
    </row>
    <row r="8" spans="3:7" ht="19.5" x14ac:dyDescent="0.25">
      <c r="C8" s="1"/>
      <c r="D8" s="103" t="s">
        <v>45</v>
      </c>
    </row>
    <row r="9" spans="3:7" ht="21.75" thickBot="1" x14ac:dyDescent="0.4">
      <c r="C9" s="18" t="s">
        <v>72</v>
      </c>
      <c r="D9" s="1"/>
      <c r="E9" s="33" t="s">
        <v>46</v>
      </c>
      <c r="G9" s="1"/>
    </row>
    <row r="10" spans="3:7" ht="19.5" x14ac:dyDescent="0.25">
      <c r="C10" s="191" t="s">
        <v>0</v>
      </c>
      <c r="D10" s="9" t="s">
        <v>2</v>
      </c>
      <c r="E10" s="12" t="s">
        <v>4</v>
      </c>
      <c r="F10" s="41" t="s">
        <v>12</v>
      </c>
    </row>
    <row r="11" spans="3:7" ht="20.25" thickBot="1" x14ac:dyDescent="0.3">
      <c r="C11" s="192"/>
      <c r="D11" s="10" t="s">
        <v>73</v>
      </c>
      <c r="E11" s="13" t="s">
        <v>73</v>
      </c>
      <c r="F11" s="43" t="s">
        <v>74</v>
      </c>
    </row>
    <row r="12" spans="3:7" ht="20.25" thickBot="1" x14ac:dyDescent="0.3">
      <c r="C12" s="6" t="s">
        <v>221</v>
      </c>
      <c r="D12" s="55"/>
      <c r="E12" s="55"/>
      <c r="F12" s="42">
        <f>(D12*E12*7.2)*1.05</f>
        <v>0</v>
      </c>
    </row>
    <row r="13" spans="3:7" ht="20.25" thickBot="1" x14ac:dyDescent="0.3">
      <c r="C13" s="6" t="s">
        <v>222</v>
      </c>
      <c r="D13" s="55"/>
      <c r="E13" s="55"/>
      <c r="F13" s="42">
        <f t="shared" ref="F13:F23" si="0">(D13*E13*7.2)*1.05</f>
        <v>0</v>
      </c>
    </row>
    <row r="14" spans="3:7" ht="20.25" thickBot="1" x14ac:dyDescent="0.3">
      <c r="C14" s="6" t="s">
        <v>221</v>
      </c>
      <c r="D14" s="55"/>
      <c r="E14" s="55"/>
      <c r="F14" s="42">
        <f t="shared" si="0"/>
        <v>0</v>
      </c>
    </row>
    <row r="15" spans="3:7" ht="20.25" thickBot="1" x14ac:dyDescent="0.3">
      <c r="C15" s="6" t="s">
        <v>222</v>
      </c>
      <c r="D15" s="55"/>
      <c r="E15" s="55"/>
      <c r="F15" s="42">
        <f t="shared" si="0"/>
        <v>0</v>
      </c>
    </row>
    <row r="16" spans="3:7" ht="20.25" thickBot="1" x14ac:dyDescent="0.3">
      <c r="C16" s="6" t="s">
        <v>221</v>
      </c>
      <c r="D16" s="55"/>
      <c r="E16" s="55"/>
      <c r="F16" s="42">
        <f t="shared" si="0"/>
        <v>0</v>
      </c>
    </row>
    <row r="17" spans="3:8" ht="20.25" thickBot="1" x14ac:dyDescent="0.3">
      <c r="C17" s="6" t="s">
        <v>222</v>
      </c>
      <c r="D17" s="55"/>
      <c r="E17" s="55"/>
      <c r="F17" s="42">
        <f t="shared" si="0"/>
        <v>0</v>
      </c>
    </row>
    <row r="18" spans="3:8" ht="20.25" thickBot="1" x14ac:dyDescent="0.3">
      <c r="C18" s="6" t="s">
        <v>221</v>
      </c>
      <c r="D18" s="55"/>
      <c r="E18" s="55"/>
      <c r="F18" s="42">
        <f t="shared" si="0"/>
        <v>0</v>
      </c>
    </row>
    <row r="19" spans="3:8" ht="20.25" thickBot="1" x14ac:dyDescent="0.3">
      <c r="C19" s="6" t="s">
        <v>222</v>
      </c>
      <c r="D19" s="55"/>
      <c r="E19" s="55"/>
      <c r="F19" s="42">
        <f t="shared" si="0"/>
        <v>0</v>
      </c>
      <c r="H19" s="58"/>
    </row>
    <row r="20" spans="3:8" ht="20.25" thickBot="1" x14ac:dyDescent="0.3">
      <c r="C20" s="6" t="s">
        <v>221</v>
      </c>
      <c r="D20" s="55"/>
      <c r="E20" s="55"/>
      <c r="F20" s="42">
        <f t="shared" si="0"/>
        <v>0</v>
      </c>
    </row>
    <row r="21" spans="3:8" ht="20.25" thickBot="1" x14ac:dyDescent="0.3">
      <c r="C21" s="6" t="s">
        <v>222</v>
      </c>
      <c r="D21" s="55"/>
      <c r="E21" s="55"/>
      <c r="F21" s="42">
        <f t="shared" si="0"/>
        <v>0</v>
      </c>
    </row>
    <row r="22" spans="3:8" ht="20.25" thickBot="1" x14ac:dyDescent="0.3">
      <c r="C22" s="6" t="s">
        <v>221</v>
      </c>
      <c r="D22" s="55"/>
      <c r="E22" s="55"/>
      <c r="F22" s="42">
        <f t="shared" si="0"/>
        <v>0</v>
      </c>
    </row>
    <row r="23" spans="3:8" ht="20.25" thickBot="1" x14ac:dyDescent="0.3">
      <c r="C23" s="6" t="s">
        <v>222</v>
      </c>
      <c r="D23" s="55"/>
      <c r="E23" s="55"/>
      <c r="F23" s="42">
        <f t="shared" si="0"/>
        <v>0</v>
      </c>
    </row>
    <row r="24" spans="3:8" ht="15.75" thickBot="1" x14ac:dyDescent="0.3"/>
    <row r="25" spans="3:8" ht="30.75" thickBot="1" x14ac:dyDescent="0.3">
      <c r="E25" s="77" t="s">
        <v>223</v>
      </c>
      <c r="F25" s="94">
        <f>SUM(F12:F23)</f>
        <v>0</v>
      </c>
    </row>
  </sheetData>
  <sheetProtection algorithmName="SHA-512" hashValue="TWOzoX55wtdkAdyAtQXmBFYiCZHXr4zRDG0cZ5201tPaFVYkjoV2bizVR+vClkI2NKDQhIxDdsLFaQ4S9Mjkvw==" saltValue="2NDI5z792kcR65QWAQJTVg==" spinCount="100000" sheet="1" objects="1" scenarios="1"/>
  <mergeCells count="1">
    <mergeCell ref="C10:C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28"/>
  <sheetViews>
    <sheetView topLeftCell="A8" workbookViewId="0">
      <selection activeCell="E27" sqref="E27"/>
    </sheetView>
  </sheetViews>
  <sheetFormatPr baseColWidth="10" defaultColWidth="10.7109375" defaultRowHeight="15" x14ac:dyDescent="0.25"/>
  <cols>
    <col min="3" max="4" width="25.7109375" customWidth="1"/>
    <col min="5" max="5" width="26.28515625" customWidth="1"/>
    <col min="6" max="6" width="17.42578125" customWidth="1"/>
    <col min="7" max="7" width="20.85546875" customWidth="1"/>
    <col min="8" max="8" width="19.5703125" customWidth="1"/>
  </cols>
  <sheetData>
    <row r="5" spans="3:8" ht="15.75" x14ac:dyDescent="0.25">
      <c r="D5" s="101" t="s">
        <v>337</v>
      </c>
      <c r="E5" s="31"/>
    </row>
    <row r="7" spans="3:8" ht="21" x14ac:dyDescent="0.35">
      <c r="C7" s="1"/>
      <c r="E7" s="162" t="s">
        <v>404</v>
      </c>
      <c r="F7" s="162"/>
      <c r="G7" s="162"/>
    </row>
    <row r="8" spans="3:8" ht="19.5" x14ac:dyDescent="0.25">
      <c r="C8" s="1"/>
      <c r="D8" s="103" t="s">
        <v>45</v>
      </c>
    </row>
    <row r="9" spans="3:8" ht="21.75" thickBot="1" x14ac:dyDescent="0.4">
      <c r="C9" s="18" t="s">
        <v>78</v>
      </c>
      <c r="D9" s="1"/>
      <c r="E9" s="1"/>
      <c r="F9" s="33" t="s">
        <v>46</v>
      </c>
      <c r="G9" s="1"/>
    </row>
    <row r="10" spans="3:8" ht="19.5" x14ac:dyDescent="0.25">
      <c r="C10" s="191" t="s">
        <v>0</v>
      </c>
      <c r="D10" s="9" t="s">
        <v>2</v>
      </c>
      <c r="E10" s="12" t="s">
        <v>4</v>
      </c>
      <c r="F10" s="9" t="s">
        <v>12</v>
      </c>
      <c r="G10" s="41" t="s">
        <v>14</v>
      </c>
      <c r="H10" s="41" t="s">
        <v>14</v>
      </c>
    </row>
    <row r="11" spans="3:8" ht="20.25" thickBot="1" x14ac:dyDescent="0.3">
      <c r="C11" s="192"/>
      <c r="D11" s="10" t="s">
        <v>3</v>
      </c>
      <c r="E11" s="13" t="s">
        <v>3</v>
      </c>
      <c r="F11" s="10" t="s">
        <v>13</v>
      </c>
      <c r="G11" s="43" t="s">
        <v>15</v>
      </c>
      <c r="H11" s="43" t="s">
        <v>53</v>
      </c>
    </row>
    <row r="12" spans="3:8" ht="20.25" thickBot="1" x14ac:dyDescent="0.3">
      <c r="C12" s="6" t="s">
        <v>206</v>
      </c>
      <c r="D12" s="55"/>
      <c r="E12" s="55"/>
      <c r="F12" s="55"/>
      <c r="G12" s="104">
        <f>F12/45</f>
        <v>0</v>
      </c>
      <c r="H12" s="104">
        <f>G12/20</f>
        <v>0</v>
      </c>
    </row>
    <row r="13" spans="3:8" ht="20.25" thickBot="1" x14ac:dyDescent="0.3">
      <c r="C13" s="6" t="s">
        <v>207</v>
      </c>
      <c r="D13" s="55"/>
      <c r="E13" s="55"/>
      <c r="F13" s="55"/>
      <c r="G13" s="104">
        <f t="shared" ref="G13:G26" si="0">F13/45</f>
        <v>0</v>
      </c>
      <c r="H13" s="104">
        <f t="shared" ref="H13:H26" si="1">G13/20</f>
        <v>0</v>
      </c>
    </row>
    <row r="14" spans="3:8" ht="20.25" thickBot="1" x14ac:dyDescent="0.3">
      <c r="C14" s="6" t="s">
        <v>208</v>
      </c>
      <c r="D14" s="55"/>
      <c r="E14" s="55"/>
      <c r="F14" s="55"/>
      <c r="G14" s="104">
        <f t="shared" si="0"/>
        <v>0</v>
      </c>
      <c r="H14" s="104">
        <f t="shared" si="1"/>
        <v>0</v>
      </c>
    </row>
    <row r="15" spans="3:8" ht="20.25" thickBot="1" x14ac:dyDescent="0.3">
      <c r="C15" s="6" t="s">
        <v>209</v>
      </c>
      <c r="D15" s="55"/>
      <c r="E15" s="55"/>
      <c r="F15" s="55"/>
      <c r="G15" s="104">
        <f t="shared" si="0"/>
        <v>0</v>
      </c>
      <c r="H15" s="104">
        <f t="shared" si="1"/>
        <v>0</v>
      </c>
    </row>
    <row r="16" spans="3:8" ht="20.25" thickBot="1" x14ac:dyDescent="0.3">
      <c r="C16" s="6" t="s">
        <v>210</v>
      </c>
      <c r="D16" s="55"/>
      <c r="E16" s="55"/>
      <c r="F16" s="55"/>
      <c r="G16" s="104">
        <f t="shared" si="0"/>
        <v>0</v>
      </c>
      <c r="H16" s="104">
        <f t="shared" si="1"/>
        <v>0</v>
      </c>
    </row>
    <row r="17" spans="3:8" ht="20.25" thickBot="1" x14ac:dyDescent="0.3">
      <c r="C17" s="6" t="s">
        <v>211</v>
      </c>
      <c r="D17" s="55"/>
      <c r="E17" s="55"/>
      <c r="F17" s="55"/>
      <c r="G17" s="104">
        <f t="shared" si="0"/>
        <v>0</v>
      </c>
      <c r="H17" s="104">
        <f t="shared" si="1"/>
        <v>0</v>
      </c>
    </row>
    <row r="18" spans="3:8" ht="20.25" thickBot="1" x14ac:dyDescent="0.3">
      <c r="C18" s="6" t="s">
        <v>212</v>
      </c>
      <c r="D18" s="55"/>
      <c r="E18" s="55"/>
      <c r="F18" s="55"/>
      <c r="G18" s="104">
        <f t="shared" si="0"/>
        <v>0</v>
      </c>
      <c r="H18" s="104">
        <f t="shared" si="1"/>
        <v>0</v>
      </c>
    </row>
    <row r="19" spans="3:8" ht="20.25" thickBot="1" x14ac:dyDescent="0.3">
      <c r="C19" s="6" t="s">
        <v>213</v>
      </c>
      <c r="D19" s="55"/>
      <c r="E19" s="55"/>
      <c r="F19" s="55"/>
      <c r="G19" s="104">
        <f t="shared" si="0"/>
        <v>0</v>
      </c>
      <c r="H19" s="104">
        <f t="shared" si="1"/>
        <v>0</v>
      </c>
    </row>
    <row r="20" spans="3:8" ht="20.25" thickBot="1" x14ac:dyDescent="0.3">
      <c r="C20" s="6" t="s">
        <v>214</v>
      </c>
      <c r="D20" s="55"/>
      <c r="E20" s="55"/>
      <c r="F20" s="55"/>
      <c r="G20" s="104">
        <f t="shared" si="0"/>
        <v>0</v>
      </c>
      <c r="H20" s="104">
        <f t="shared" si="1"/>
        <v>0</v>
      </c>
    </row>
    <row r="21" spans="3:8" ht="20.25" thickBot="1" x14ac:dyDescent="0.3">
      <c r="C21" s="6" t="s">
        <v>215</v>
      </c>
      <c r="D21" s="55"/>
      <c r="E21" s="55"/>
      <c r="F21" s="55"/>
      <c r="G21" s="104">
        <f t="shared" si="0"/>
        <v>0</v>
      </c>
      <c r="H21" s="104">
        <f t="shared" si="1"/>
        <v>0</v>
      </c>
    </row>
    <row r="22" spans="3:8" ht="20.25" thickBot="1" x14ac:dyDescent="0.3">
      <c r="C22" s="6" t="s">
        <v>216</v>
      </c>
      <c r="D22" s="55"/>
      <c r="E22" s="55"/>
      <c r="F22" s="55"/>
      <c r="G22" s="104">
        <f t="shared" si="0"/>
        <v>0</v>
      </c>
      <c r="H22" s="104">
        <f t="shared" si="1"/>
        <v>0</v>
      </c>
    </row>
    <row r="23" spans="3:8" ht="20.25" thickBot="1" x14ac:dyDescent="0.3">
      <c r="C23" s="6" t="s">
        <v>217</v>
      </c>
      <c r="D23" s="55"/>
      <c r="E23" s="55"/>
      <c r="F23" s="55"/>
      <c r="G23" s="104">
        <f t="shared" si="0"/>
        <v>0</v>
      </c>
      <c r="H23" s="104">
        <f t="shared" si="1"/>
        <v>0</v>
      </c>
    </row>
    <row r="24" spans="3:8" ht="20.25" thickBot="1" x14ac:dyDescent="0.3">
      <c r="C24" s="6" t="s">
        <v>218</v>
      </c>
      <c r="D24" s="55"/>
      <c r="E24" s="55"/>
      <c r="F24" s="55"/>
      <c r="G24" s="104">
        <f t="shared" si="0"/>
        <v>0</v>
      </c>
      <c r="H24" s="104">
        <f t="shared" si="1"/>
        <v>0</v>
      </c>
    </row>
    <row r="25" spans="3:8" ht="20.25" thickBot="1" x14ac:dyDescent="0.3">
      <c r="C25" s="6" t="s">
        <v>219</v>
      </c>
      <c r="D25" s="55"/>
      <c r="E25" s="55"/>
      <c r="F25" s="55"/>
      <c r="G25" s="104">
        <f t="shared" si="0"/>
        <v>0</v>
      </c>
      <c r="H25" s="104">
        <f t="shared" si="1"/>
        <v>0</v>
      </c>
    </row>
    <row r="26" spans="3:8" ht="20.25" thickBot="1" x14ac:dyDescent="0.3">
      <c r="C26" s="6" t="s">
        <v>220</v>
      </c>
      <c r="D26" s="55"/>
      <c r="E26" s="55"/>
      <c r="F26" s="55"/>
      <c r="G26" s="104">
        <f t="shared" si="0"/>
        <v>0</v>
      </c>
      <c r="H26" s="104">
        <f t="shared" si="1"/>
        <v>0</v>
      </c>
    </row>
    <row r="27" spans="3:8" ht="15.75" thickBot="1" x14ac:dyDescent="0.3"/>
    <row r="28" spans="3:8" ht="30.75" thickBot="1" x14ac:dyDescent="0.3">
      <c r="F28" s="77" t="s">
        <v>223</v>
      </c>
      <c r="G28" s="73">
        <f>SUM(G12:G26)</f>
        <v>0</v>
      </c>
      <c r="H28" s="73">
        <f>SUM(H12:H26)</f>
        <v>0</v>
      </c>
    </row>
  </sheetData>
  <sheetProtection algorithmName="SHA-512" hashValue="lpSf7FEWwacgD+8uTWNulCICSfe/MfjQLobzXQQMXDCKiRkuEbO9fPLxUX/cVeTmwj8J+Nw2KPeGqWyP6jwWaA==" saltValue="Hz1ClnTt+O7FBq8/w75QmA==" spinCount="100000" sheet="1" objects="1" scenarios="1"/>
  <mergeCells count="1">
    <mergeCell ref="C10:C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30"/>
  <sheetViews>
    <sheetView topLeftCell="A10" zoomScale="90" zoomScaleNormal="90" workbookViewId="0">
      <selection activeCell="D13" sqref="D13:F27"/>
    </sheetView>
  </sheetViews>
  <sheetFormatPr baseColWidth="10" defaultColWidth="10.7109375" defaultRowHeight="15" x14ac:dyDescent="0.25"/>
  <cols>
    <col min="3" max="3" width="27.42578125" customWidth="1"/>
    <col min="4" max="5" width="25.7109375" customWidth="1"/>
    <col min="6" max="6" width="17.42578125" customWidth="1"/>
    <col min="7" max="7" width="17" customWidth="1"/>
    <col min="8" max="8" width="15" customWidth="1"/>
  </cols>
  <sheetData>
    <row r="5" spans="3:8" ht="18.75" x14ac:dyDescent="0.3">
      <c r="D5" s="48" t="s">
        <v>375</v>
      </c>
      <c r="E5" s="31"/>
    </row>
    <row r="7" spans="3:8" ht="21" x14ac:dyDescent="0.35">
      <c r="C7" s="1"/>
      <c r="D7" s="162" t="s">
        <v>404</v>
      </c>
      <c r="E7" s="162"/>
      <c r="F7" s="162"/>
    </row>
    <row r="8" spans="3:8" ht="19.5" x14ac:dyDescent="0.25">
      <c r="C8" s="1"/>
      <c r="D8" s="1"/>
      <c r="E8" s="1"/>
      <c r="F8" s="1"/>
      <c r="G8" s="1"/>
      <c r="H8" s="1"/>
    </row>
    <row r="9" spans="3:8" ht="19.5" x14ac:dyDescent="0.25">
      <c r="C9" s="1"/>
      <c r="D9" s="103" t="s">
        <v>45</v>
      </c>
    </row>
    <row r="10" spans="3:8" ht="21.75" thickBot="1" x14ac:dyDescent="0.4">
      <c r="C10" s="18" t="s">
        <v>57</v>
      </c>
      <c r="D10" s="1"/>
      <c r="E10" s="1"/>
      <c r="F10" s="33" t="s">
        <v>46</v>
      </c>
      <c r="G10" s="1"/>
    </row>
    <row r="11" spans="3:8" ht="19.5" x14ac:dyDescent="0.25">
      <c r="C11" s="191" t="s">
        <v>0</v>
      </c>
      <c r="D11" s="9" t="s">
        <v>2</v>
      </c>
      <c r="E11" s="12" t="s">
        <v>4</v>
      </c>
      <c r="F11" s="12" t="s">
        <v>16</v>
      </c>
      <c r="G11" s="41" t="s">
        <v>5</v>
      </c>
      <c r="H11" s="41" t="s">
        <v>5</v>
      </c>
    </row>
    <row r="12" spans="3:8" ht="20.25" thickBot="1" x14ac:dyDescent="0.3">
      <c r="C12" s="192"/>
      <c r="D12" s="10" t="s">
        <v>3</v>
      </c>
      <c r="E12" s="13" t="s">
        <v>3</v>
      </c>
      <c r="F12" s="13" t="s">
        <v>17</v>
      </c>
      <c r="G12" s="43" t="s">
        <v>15</v>
      </c>
      <c r="H12" s="43" t="s">
        <v>53</v>
      </c>
    </row>
    <row r="13" spans="3:8" ht="20.25" thickBot="1" x14ac:dyDescent="0.3">
      <c r="C13" s="6" t="s">
        <v>206</v>
      </c>
      <c r="D13" s="55"/>
      <c r="E13" s="55"/>
      <c r="F13" s="55"/>
      <c r="G13" s="104">
        <f>((D13*E13*F13*400)/50)*1.05</f>
        <v>0</v>
      </c>
      <c r="H13" s="104">
        <f>G13/20</f>
        <v>0</v>
      </c>
    </row>
    <row r="14" spans="3:8" ht="20.25" thickBot="1" x14ac:dyDescent="0.3">
      <c r="C14" s="6" t="s">
        <v>207</v>
      </c>
      <c r="D14" s="55"/>
      <c r="E14" s="55"/>
      <c r="F14" s="55"/>
      <c r="G14" s="104">
        <f t="shared" ref="G14:G27" si="0">((D14*E14*F14*400)/50)*1.05</f>
        <v>0</v>
      </c>
      <c r="H14" s="104">
        <f t="shared" ref="H14:H27" si="1">G14/20</f>
        <v>0</v>
      </c>
    </row>
    <row r="15" spans="3:8" ht="20.25" thickBot="1" x14ac:dyDescent="0.3">
      <c r="C15" s="6" t="s">
        <v>208</v>
      </c>
      <c r="D15" s="55"/>
      <c r="E15" s="55"/>
      <c r="F15" s="55"/>
      <c r="G15" s="104">
        <f t="shared" si="0"/>
        <v>0</v>
      </c>
      <c r="H15" s="104">
        <f t="shared" si="1"/>
        <v>0</v>
      </c>
    </row>
    <row r="16" spans="3:8" ht="20.25" thickBot="1" x14ac:dyDescent="0.3">
      <c r="C16" s="6" t="s">
        <v>209</v>
      </c>
      <c r="D16" s="55"/>
      <c r="E16" s="55"/>
      <c r="F16" s="55"/>
      <c r="G16" s="104">
        <f t="shared" si="0"/>
        <v>0</v>
      </c>
      <c r="H16" s="104">
        <f t="shared" si="1"/>
        <v>0</v>
      </c>
    </row>
    <row r="17" spans="3:8" ht="20.25" thickBot="1" x14ac:dyDescent="0.3">
      <c r="C17" s="6" t="s">
        <v>210</v>
      </c>
      <c r="D17" s="55"/>
      <c r="E17" s="55"/>
      <c r="F17" s="55"/>
      <c r="G17" s="104">
        <f t="shared" si="0"/>
        <v>0</v>
      </c>
      <c r="H17" s="104">
        <f t="shared" si="1"/>
        <v>0</v>
      </c>
    </row>
    <row r="18" spans="3:8" ht="20.25" thickBot="1" x14ac:dyDescent="0.3">
      <c r="C18" s="6" t="s">
        <v>211</v>
      </c>
      <c r="D18" s="55"/>
      <c r="E18" s="55"/>
      <c r="F18" s="55"/>
      <c r="G18" s="104">
        <f t="shared" si="0"/>
        <v>0</v>
      </c>
      <c r="H18" s="104">
        <f t="shared" si="1"/>
        <v>0</v>
      </c>
    </row>
    <row r="19" spans="3:8" ht="20.25" thickBot="1" x14ac:dyDescent="0.3">
      <c r="C19" s="6" t="s">
        <v>212</v>
      </c>
      <c r="D19" s="55"/>
      <c r="E19" s="55"/>
      <c r="F19" s="55"/>
      <c r="G19" s="104">
        <f t="shared" si="0"/>
        <v>0</v>
      </c>
      <c r="H19" s="104">
        <f t="shared" si="1"/>
        <v>0</v>
      </c>
    </row>
    <row r="20" spans="3:8" ht="20.25" thickBot="1" x14ac:dyDescent="0.3">
      <c r="C20" s="6" t="s">
        <v>213</v>
      </c>
      <c r="D20" s="55"/>
      <c r="E20" s="55"/>
      <c r="F20" s="55"/>
      <c r="G20" s="104">
        <f t="shared" si="0"/>
        <v>0</v>
      </c>
      <c r="H20" s="104">
        <f t="shared" si="1"/>
        <v>0</v>
      </c>
    </row>
    <row r="21" spans="3:8" ht="20.25" thickBot="1" x14ac:dyDescent="0.3">
      <c r="C21" s="6" t="s">
        <v>214</v>
      </c>
      <c r="D21" s="55"/>
      <c r="E21" s="55"/>
      <c r="F21" s="55"/>
      <c r="G21" s="104">
        <f t="shared" si="0"/>
        <v>0</v>
      </c>
      <c r="H21" s="104">
        <f t="shared" si="1"/>
        <v>0</v>
      </c>
    </row>
    <row r="22" spans="3:8" ht="20.25" thickBot="1" x14ac:dyDescent="0.3">
      <c r="C22" s="6" t="s">
        <v>215</v>
      </c>
      <c r="D22" s="55"/>
      <c r="E22" s="55"/>
      <c r="F22" s="55"/>
      <c r="G22" s="104">
        <f t="shared" si="0"/>
        <v>0</v>
      </c>
      <c r="H22" s="104">
        <f t="shared" si="1"/>
        <v>0</v>
      </c>
    </row>
    <row r="23" spans="3:8" ht="20.25" thickBot="1" x14ac:dyDescent="0.3">
      <c r="C23" s="6" t="s">
        <v>216</v>
      </c>
      <c r="D23" s="55"/>
      <c r="E23" s="55"/>
      <c r="F23" s="55"/>
      <c r="G23" s="104">
        <f t="shared" si="0"/>
        <v>0</v>
      </c>
      <c r="H23" s="104">
        <f t="shared" si="1"/>
        <v>0</v>
      </c>
    </row>
    <row r="24" spans="3:8" ht="20.25" thickBot="1" x14ac:dyDescent="0.3">
      <c r="C24" s="6" t="s">
        <v>217</v>
      </c>
      <c r="D24" s="55"/>
      <c r="E24" s="55"/>
      <c r="F24" s="55"/>
      <c r="G24" s="104">
        <f t="shared" si="0"/>
        <v>0</v>
      </c>
      <c r="H24" s="104">
        <f t="shared" si="1"/>
        <v>0</v>
      </c>
    </row>
    <row r="25" spans="3:8" ht="20.25" thickBot="1" x14ac:dyDescent="0.3">
      <c r="C25" s="6" t="s">
        <v>218</v>
      </c>
      <c r="D25" s="55"/>
      <c r="E25" s="55"/>
      <c r="F25" s="55"/>
      <c r="G25" s="104">
        <f t="shared" si="0"/>
        <v>0</v>
      </c>
      <c r="H25" s="104">
        <f t="shared" si="1"/>
        <v>0</v>
      </c>
    </row>
    <row r="26" spans="3:8" ht="20.25" thickBot="1" x14ac:dyDescent="0.3">
      <c r="C26" s="6" t="s">
        <v>219</v>
      </c>
      <c r="D26" s="55"/>
      <c r="E26" s="55"/>
      <c r="F26" s="55"/>
      <c r="G26" s="104">
        <f t="shared" si="0"/>
        <v>0</v>
      </c>
      <c r="H26" s="104">
        <f t="shared" si="1"/>
        <v>0</v>
      </c>
    </row>
    <row r="27" spans="3:8" ht="20.25" thickBot="1" x14ac:dyDescent="0.3">
      <c r="C27" s="6" t="s">
        <v>220</v>
      </c>
      <c r="D27" s="55"/>
      <c r="E27" s="55"/>
      <c r="F27" s="55"/>
      <c r="G27" s="104">
        <f t="shared" si="0"/>
        <v>0</v>
      </c>
      <c r="H27" s="104">
        <f t="shared" si="1"/>
        <v>0</v>
      </c>
    </row>
    <row r="29" spans="3:8" ht="15.75" thickBot="1" x14ac:dyDescent="0.3"/>
    <row r="30" spans="3:8" ht="30.75" thickBot="1" x14ac:dyDescent="0.3">
      <c r="F30" s="77" t="s">
        <v>223</v>
      </c>
      <c r="G30" s="73">
        <f>SUM(G13:G27)</f>
        <v>0</v>
      </c>
      <c r="H30" s="73">
        <f>SUM(H13:H27)</f>
        <v>0</v>
      </c>
    </row>
  </sheetData>
  <sheetProtection algorithmName="SHA-512" hashValue="HTpv3M4+ARX93g6bWYFkU8RvUHHwHZAiriYBZchfjwbYOJ5+kHl0dYyrlds9d7RZ2hNeeKOWduOfSUTI57sZKA==" saltValue="a4EIO0CrF3Kf49NHR2y3wQ==" spinCount="100000" sheet="1" objects="1" scenarios="1"/>
  <mergeCells count="1">
    <mergeCell ref="C11:C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31"/>
  <sheetViews>
    <sheetView topLeftCell="A10" workbookViewId="0">
      <selection activeCell="D14" sqref="D14:G28"/>
    </sheetView>
  </sheetViews>
  <sheetFormatPr baseColWidth="10" defaultColWidth="10.7109375" defaultRowHeight="15" x14ac:dyDescent="0.25"/>
  <cols>
    <col min="3" max="5" width="25.7109375" customWidth="1"/>
    <col min="6" max="6" width="17.42578125" customWidth="1"/>
    <col min="7" max="7" width="17" customWidth="1"/>
    <col min="8" max="8" width="17.42578125" customWidth="1"/>
    <col min="9" max="9" width="14.140625" customWidth="1"/>
  </cols>
  <sheetData>
    <row r="6" spans="3:9" ht="18.75" x14ac:dyDescent="0.3">
      <c r="D6" s="48" t="s">
        <v>374</v>
      </c>
      <c r="E6" s="48"/>
      <c r="H6" s="16"/>
    </row>
    <row r="8" spans="3:9" ht="21" x14ac:dyDescent="0.35">
      <c r="D8" s="162" t="s">
        <v>405</v>
      </c>
      <c r="E8" s="162"/>
      <c r="F8" s="162"/>
      <c r="H8" s="17"/>
    </row>
    <row r="9" spans="3:9" ht="19.5" x14ac:dyDescent="0.25">
      <c r="H9" s="17"/>
    </row>
    <row r="10" spans="3:9" ht="19.5" x14ac:dyDescent="0.25">
      <c r="D10" s="103" t="s">
        <v>45</v>
      </c>
      <c r="H10" s="17"/>
    </row>
    <row r="11" spans="3:9" ht="21.75" thickBot="1" x14ac:dyDescent="0.4">
      <c r="C11" s="18" t="s">
        <v>51</v>
      </c>
      <c r="F11" s="33" t="s">
        <v>46</v>
      </c>
      <c r="H11" s="1"/>
    </row>
    <row r="12" spans="3:9" ht="19.5" x14ac:dyDescent="0.25">
      <c r="C12" s="191" t="s">
        <v>0</v>
      </c>
      <c r="D12" s="9" t="s">
        <v>2</v>
      </c>
      <c r="E12" s="12" t="s">
        <v>4</v>
      </c>
      <c r="F12" s="12" t="s">
        <v>19</v>
      </c>
      <c r="G12" s="12" t="s">
        <v>5</v>
      </c>
      <c r="H12" s="41" t="s">
        <v>5</v>
      </c>
      <c r="I12" s="41" t="s">
        <v>5</v>
      </c>
    </row>
    <row r="13" spans="3:9" ht="20.25" thickBot="1" x14ac:dyDescent="0.3">
      <c r="C13" s="192"/>
      <c r="D13" s="10" t="s">
        <v>18</v>
      </c>
      <c r="E13" s="13" t="s">
        <v>18</v>
      </c>
      <c r="F13" s="13" t="s">
        <v>18</v>
      </c>
      <c r="G13" s="13" t="s">
        <v>20</v>
      </c>
      <c r="H13" s="43" t="s">
        <v>15</v>
      </c>
      <c r="I13" s="43" t="s">
        <v>53</v>
      </c>
    </row>
    <row r="14" spans="3:9" ht="20.25" thickBot="1" x14ac:dyDescent="0.3">
      <c r="C14" s="6" t="s">
        <v>224</v>
      </c>
      <c r="D14" s="55"/>
      <c r="E14" s="55"/>
      <c r="F14" s="55"/>
      <c r="G14" s="55"/>
      <c r="H14" s="42">
        <f>(((D14*E14*F14*G14)*350)/50)*1.1</f>
        <v>0</v>
      </c>
      <c r="I14" s="42">
        <f>H14/20</f>
        <v>0</v>
      </c>
    </row>
    <row r="15" spans="3:9" ht="20.25" thickBot="1" x14ac:dyDescent="0.3">
      <c r="C15" s="6" t="s">
        <v>225</v>
      </c>
      <c r="D15" s="55"/>
      <c r="E15" s="55"/>
      <c r="F15" s="55"/>
      <c r="G15" s="55"/>
      <c r="H15" s="42">
        <f t="shared" ref="H15:H28" si="0">(((D15*E15*F15*G15)*350)/50)*1.1</f>
        <v>0</v>
      </c>
      <c r="I15" s="42">
        <f t="shared" ref="I15:I28" si="1">H15/20</f>
        <v>0</v>
      </c>
    </row>
    <row r="16" spans="3:9" ht="20.25" thickBot="1" x14ac:dyDescent="0.3">
      <c r="C16" s="6" t="s">
        <v>226</v>
      </c>
      <c r="D16" s="55"/>
      <c r="E16" s="55"/>
      <c r="F16" s="55"/>
      <c r="G16" s="55"/>
      <c r="H16" s="42">
        <f t="shared" si="0"/>
        <v>0</v>
      </c>
      <c r="I16" s="42">
        <f t="shared" si="1"/>
        <v>0</v>
      </c>
    </row>
    <row r="17" spans="3:9" ht="20.25" thickBot="1" x14ac:dyDescent="0.3">
      <c r="C17" s="6" t="s">
        <v>227</v>
      </c>
      <c r="D17" s="55"/>
      <c r="E17" s="55"/>
      <c r="F17" s="55"/>
      <c r="G17" s="55"/>
      <c r="H17" s="42">
        <f t="shared" si="0"/>
        <v>0</v>
      </c>
      <c r="I17" s="42">
        <f t="shared" si="1"/>
        <v>0</v>
      </c>
    </row>
    <row r="18" spans="3:9" ht="20.25" thickBot="1" x14ac:dyDescent="0.3">
      <c r="C18" s="6" t="s">
        <v>228</v>
      </c>
      <c r="D18" s="55"/>
      <c r="E18" s="55"/>
      <c r="F18" s="55"/>
      <c r="G18" s="55"/>
      <c r="H18" s="42">
        <f t="shared" si="0"/>
        <v>0</v>
      </c>
      <c r="I18" s="42">
        <f t="shared" si="1"/>
        <v>0</v>
      </c>
    </row>
    <row r="19" spans="3:9" ht="20.25" thickBot="1" x14ac:dyDescent="0.3">
      <c r="C19" s="6" t="s">
        <v>229</v>
      </c>
      <c r="D19" s="55"/>
      <c r="E19" s="55"/>
      <c r="F19" s="55"/>
      <c r="G19" s="55"/>
      <c r="H19" s="42">
        <f t="shared" si="0"/>
        <v>0</v>
      </c>
      <c r="I19" s="42">
        <f t="shared" si="1"/>
        <v>0</v>
      </c>
    </row>
    <row r="20" spans="3:9" ht="20.25" thickBot="1" x14ac:dyDescent="0.3">
      <c r="C20" s="6" t="s">
        <v>230</v>
      </c>
      <c r="D20" s="55"/>
      <c r="E20" s="55"/>
      <c r="F20" s="55"/>
      <c r="G20" s="55"/>
      <c r="H20" s="42">
        <f t="shared" si="0"/>
        <v>0</v>
      </c>
      <c r="I20" s="42">
        <f t="shared" si="1"/>
        <v>0</v>
      </c>
    </row>
    <row r="21" spans="3:9" ht="20.25" thickBot="1" x14ac:dyDescent="0.3">
      <c r="C21" s="6" t="s">
        <v>231</v>
      </c>
      <c r="D21" s="55"/>
      <c r="E21" s="55"/>
      <c r="F21" s="55"/>
      <c r="G21" s="55"/>
      <c r="H21" s="42">
        <f t="shared" si="0"/>
        <v>0</v>
      </c>
      <c r="I21" s="42">
        <f t="shared" si="1"/>
        <v>0</v>
      </c>
    </row>
    <row r="22" spans="3:9" ht="20.25" thickBot="1" x14ac:dyDescent="0.3">
      <c r="C22" s="6" t="s">
        <v>232</v>
      </c>
      <c r="D22" s="55"/>
      <c r="E22" s="55"/>
      <c r="F22" s="55"/>
      <c r="G22" s="55"/>
      <c r="H22" s="42">
        <f t="shared" si="0"/>
        <v>0</v>
      </c>
      <c r="I22" s="42">
        <f t="shared" si="1"/>
        <v>0</v>
      </c>
    </row>
    <row r="23" spans="3:9" ht="20.25" thickBot="1" x14ac:dyDescent="0.3">
      <c r="C23" s="6" t="s">
        <v>233</v>
      </c>
      <c r="D23" s="55"/>
      <c r="E23" s="55"/>
      <c r="F23" s="55"/>
      <c r="G23" s="55"/>
      <c r="H23" s="42">
        <f t="shared" si="0"/>
        <v>0</v>
      </c>
      <c r="I23" s="42">
        <f t="shared" si="1"/>
        <v>0</v>
      </c>
    </row>
    <row r="24" spans="3:9" ht="20.25" thickBot="1" x14ac:dyDescent="0.3">
      <c r="C24" s="6" t="s">
        <v>234</v>
      </c>
      <c r="D24" s="55"/>
      <c r="E24" s="55"/>
      <c r="F24" s="55"/>
      <c r="G24" s="55"/>
      <c r="H24" s="42">
        <f t="shared" si="0"/>
        <v>0</v>
      </c>
      <c r="I24" s="42">
        <f t="shared" si="1"/>
        <v>0</v>
      </c>
    </row>
    <row r="25" spans="3:9" ht="20.25" thickBot="1" x14ac:dyDescent="0.3">
      <c r="C25" s="6" t="s">
        <v>235</v>
      </c>
      <c r="D25" s="55"/>
      <c r="E25" s="55"/>
      <c r="F25" s="55"/>
      <c r="G25" s="55"/>
      <c r="H25" s="42">
        <f t="shared" si="0"/>
        <v>0</v>
      </c>
      <c r="I25" s="42">
        <f t="shared" si="1"/>
        <v>0</v>
      </c>
    </row>
    <row r="26" spans="3:9" ht="20.25" thickBot="1" x14ac:dyDescent="0.3">
      <c r="C26" s="6" t="s">
        <v>236</v>
      </c>
      <c r="D26" s="55"/>
      <c r="E26" s="55"/>
      <c r="F26" s="55"/>
      <c r="G26" s="55"/>
      <c r="H26" s="42">
        <f t="shared" si="0"/>
        <v>0</v>
      </c>
      <c r="I26" s="42">
        <f t="shared" si="1"/>
        <v>0</v>
      </c>
    </row>
    <row r="27" spans="3:9" ht="20.25" thickBot="1" x14ac:dyDescent="0.3">
      <c r="C27" s="6" t="s">
        <v>237</v>
      </c>
      <c r="D27" s="55"/>
      <c r="E27" s="55"/>
      <c r="F27" s="55"/>
      <c r="G27" s="55"/>
      <c r="H27" s="42">
        <f t="shared" si="0"/>
        <v>0</v>
      </c>
      <c r="I27" s="42">
        <f t="shared" si="1"/>
        <v>0</v>
      </c>
    </row>
    <row r="28" spans="3:9" ht="20.25" thickBot="1" x14ac:dyDescent="0.3">
      <c r="C28" s="6" t="s">
        <v>238</v>
      </c>
      <c r="D28" s="55"/>
      <c r="E28" s="55"/>
      <c r="F28" s="55"/>
      <c r="G28" s="55"/>
      <c r="H28" s="42">
        <f t="shared" si="0"/>
        <v>0</v>
      </c>
      <c r="I28" s="42">
        <f t="shared" si="1"/>
        <v>0</v>
      </c>
    </row>
    <row r="30" spans="3:9" ht="15.75" thickBot="1" x14ac:dyDescent="0.3"/>
    <row r="31" spans="3:9" ht="30.75" thickBot="1" x14ac:dyDescent="0.3">
      <c r="G31" s="77" t="s">
        <v>223</v>
      </c>
      <c r="H31" s="73">
        <f>SUM(H14:H28)</f>
        <v>0</v>
      </c>
      <c r="I31" s="73">
        <f>SUM(I14:I28)</f>
        <v>0</v>
      </c>
    </row>
  </sheetData>
  <sheetProtection algorithmName="SHA-512" hashValue="EBSU+XAhcTDVrlMEYgCArpemM/L7x7pO/wIJItglrS7+mXaKQ3bbRc9cEUmtct3MWsCpz+gUlgr/+HrmX5Ue+g==" saltValue="ep1G2LVr4nJ7cUocVzt8zA==" spinCount="100000" sheet="1" objects="1" scenarios="1"/>
  <mergeCells count="1">
    <mergeCell ref="C12:C1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30"/>
  <sheetViews>
    <sheetView topLeftCell="A3" zoomScale="80" zoomScaleNormal="80" workbookViewId="0">
      <selection activeCell="E13" sqref="E13:H27"/>
    </sheetView>
  </sheetViews>
  <sheetFormatPr baseColWidth="10" defaultColWidth="10.7109375" defaultRowHeight="15" x14ac:dyDescent="0.25"/>
  <cols>
    <col min="3" max="3" width="2.85546875" customWidth="1"/>
    <col min="4" max="6" width="25.7109375" customWidth="1"/>
    <col min="7" max="7" width="17.42578125" customWidth="1"/>
    <col min="8" max="8" width="17" customWidth="1"/>
    <col min="9" max="9" width="15.140625" customWidth="1"/>
    <col min="10" max="10" width="14.140625" customWidth="1"/>
  </cols>
  <sheetData>
    <row r="5" spans="3:10" ht="18.75" x14ac:dyDescent="0.3">
      <c r="E5" s="105" t="s">
        <v>338</v>
      </c>
      <c r="F5" s="31"/>
    </row>
    <row r="7" spans="3:10" ht="21" x14ac:dyDescent="0.35">
      <c r="E7" s="162" t="s">
        <v>406</v>
      </c>
      <c r="F7" s="162"/>
      <c r="G7" s="162"/>
    </row>
    <row r="9" spans="3:10" ht="15.75" x14ac:dyDescent="0.25">
      <c r="E9" s="103" t="s">
        <v>45</v>
      </c>
    </row>
    <row r="10" spans="3:10" ht="21.75" thickBot="1" x14ac:dyDescent="0.4">
      <c r="D10" s="18" t="s">
        <v>56</v>
      </c>
      <c r="G10" s="33" t="s">
        <v>46</v>
      </c>
    </row>
    <row r="11" spans="3:10" ht="19.5" x14ac:dyDescent="0.25">
      <c r="C11" s="4"/>
      <c r="D11" s="191" t="s">
        <v>0</v>
      </c>
      <c r="E11" s="9" t="s">
        <v>2</v>
      </c>
      <c r="F11" s="12" t="s">
        <v>4</v>
      </c>
      <c r="G11" s="12" t="s">
        <v>19</v>
      </c>
      <c r="H11" s="12" t="s">
        <v>5</v>
      </c>
      <c r="I11" s="41" t="s">
        <v>5</v>
      </c>
      <c r="J11" s="41" t="s">
        <v>5</v>
      </c>
    </row>
    <row r="12" spans="3:10" ht="20.25" thickBot="1" x14ac:dyDescent="0.3">
      <c r="C12" s="1"/>
      <c r="D12" s="192"/>
      <c r="E12" s="10" t="s">
        <v>21</v>
      </c>
      <c r="F12" s="13" t="s">
        <v>21</v>
      </c>
      <c r="G12" s="13" t="s">
        <v>21</v>
      </c>
      <c r="H12" s="13" t="s">
        <v>22</v>
      </c>
      <c r="I12" s="43" t="s">
        <v>15</v>
      </c>
      <c r="J12" s="43" t="s">
        <v>53</v>
      </c>
    </row>
    <row r="13" spans="3:10" ht="20.25" thickBot="1" x14ac:dyDescent="0.3">
      <c r="C13" s="4"/>
      <c r="D13" s="6" t="s">
        <v>239</v>
      </c>
      <c r="E13" s="55"/>
      <c r="F13" s="55"/>
      <c r="G13" s="55"/>
      <c r="H13" s="55"/>
      <c r="I13" s="104">
        <f>(((E13*F13*G13*H13)*350)/50)*1.05</f>
        <v>0</v>
      </c>
      <c r="J13" s="104">
        <f>I13/20</f>
        <v>0</v>
      </c>
    </row>
    <row r="14" spans="3:10" ht="20.25" thickBot="1" x14ac:dyDescent="0.3">
      <c r="D14" s="6" t="s">
        <v>240</v>
      </c>
      <c r="E14" s="55"/>
      <c r="F14" s="55"/>
      <c r="G14" s="55"/>
      <c r="H14" s="55"/>
      <c r="I14" s="104">
        <f t="shared" ref="I14:I27" si="0">(((E14*F14*G14*H14)*350)/50)*1.05</f>
        <v>0</v>
      </c>
      <c r="J14" s="104">
        <f t="shared" ref="J14:J27" si="1">I14/20</f>
        <v>0</v>
      </c>
    </row>
    <row r="15" spans="3:10" ht="20.25" thickBot="1" x14ac:dyDescent="0.3">
      <c r="D15" s="6" t="s">
        <v>241</v>
      </c>
      <c r="E15" s="55"/>
      <c r="F15" s="55"/>
      <c r="G15" s="55"/>
      <c r="H15" s="55"/>
      <c r="I15" s="104">
        <f t="shared" si="0"/>
        <v>0</v>
      </c>
      <c r="J15" s="104">
        <f t="shared" si="1"/>
        <v>0</v>
      </c>
    </row>
    <row r="16" spans="3:10" ht="20.25" thickBot="1" x14ac:dyDescent="0.3">
      <c r="D16" s="6" t="s">
        <v>242</v>
      </c>
      <c r="E16" s="55"/>
      <c r="F16" s="55"/>
      <c r="G16" s="55"/>
      <c r="H16" s="55"/>
      <c r="I16" s="104">
        <f t="shared" si="0"/>
        <v>0</v>
      </c>
      <c r="J16" s="104">
        <f t="shared" si="1"/>
        <v>0</v>
      </c>
    </row>
    <row r="17" spans="4:10" ht="20.25" thickBot="1" x14ac:dyDescent="0.3">
      <c r="D17" s="6" t="s">
        <v>243</v>
      </c>
      <c r="E17" s="55"/>
      <c r="F17" s="55"/>
      <c r="G17" s="55"/>
      <c r="H17" s="55"/>
      <c r="I17" s="104">
        <f t="shared" si="0"/>
        <v>0</v>
      </c>
      <c r="J17" s="104">
        <f t="shared" si="1"/>
        <v>0</v>
      </c>
    </row>
    <row r="18" spans="4:10" ht="20.25" thickBot="1" x14ac:dyDescent="0.3">
      <c r="D18" s="6" t="s">
        <v>244</v>
      </c>
      <c r="E18" s="55"/>
      <c r="F18" s="55"/>
      <c r="G18" s="55"/>
      <c r="H18" s="55"/>
      <c r="I18" s="104">
        <f t="shared" si="0"/>
        <v>0</v>
      </c>
      <c r="J18" s="104">
        <f t="shared" si="1"/>
        <v>0</v>
      </c>
    </row>
    <row r="19" spans="4:10" ht="20.25" thickBot="1" x14ac:dyDescent="0.3">
      <c r="D19" s="6" t="s">
        <v>245</v>
      </c>
      <c r="E19" s="55"/>
      <c r="F19" s="55"/>
      <c r="G19" s="55"/>
      <c r="H19" s="55"/>
      <c r="I19" s="104">
        <f t="shared" si="0"/>
        <v>0</v>
      </c>
      <c r="J19" s="104">
        <f t="shared" si="1"/>
        <v>0</v>
      </c>
    </row>
    <row r="20" spans="4:10" ht="20.25" thickBot="1" x14ac:dyDescent="0.3">
      <c r="D20" s="6" t="s">
        <v>246</v>
      </c>
      <c r="E20" s="55"/>
      <c r="F20" s="55"/>
      <c r="G20" s="55"/>
      <c r="H20" s="55"/>
      <c r="I20" s="104">
        <f t="shared" si="0"/>
        <v>0</v>
      </c>
      <c r="J20" s="104">
        <f t="shared" si="1"/>
        <v>0</v>
      </c>
    </row>
    <row r="21" spans="4:10" ht="20.25" thickBot="1" x14ac:dyDescent="0.3">
      <c r="D21" s="6" t="s">
        <v>247</v>
      </c>
      <c r="E21" s="55"/>
      <c r="F21" s="55"/>
      <c r="G21" s="55"/>
      <c r="H21" s="55"/>
      <c r="I21" s="104">
        <f t="shared" si="0"/>
        <v>0</v>
      </c>
      <c r="J21" s="104">
        <f t="shared" si="1"/>
        <v>0</v>
      </c>
    </row>
    <row r="22" spans="4:10" ht="20.25" thickBot="1" x14ac:dyDescent="0.3">
      <c r="D22" s="6" t="s">
        <v>248</v>
      </c>
      <c r="E22" s="55"/>
      <c r="F22" s="55"/>
      <c r="G22" s="55"/>
      <c r="H22" s="55"/>
      <c r="I22" s="104">
        <f t="shared" si="0"/>
        <v>0</v>
      </c>
      <c r="J22" s="104">
        <f t="shared" si="1"/>
        <v>0</v>
      </c>
    </row>
    <row r="23" spans="4:10" ht="20.25" thickBot="1" x14ac:dyDescent="0.3">
      <c r="D23" s="6" t="s">
        <v>249</v>
      </c>
      <c r="E23" s="55"/>
      <c r="F23" s="55"/>
      <c r="G23" s="55"/>
      <c r="H23" s="55"/>
      <c r="I23" s="104">
        <f t="shared" si="0"/>
        <v>0</v>
      </c>
      <c r="J23" s="104">
        <f t="shared" si="1"/>
        <v>0</v>
      </c>
    </row>
    <row r="24" spans="4:10" ht="20.25" thickBot="1" x14ac:dyDescent="0.3">
      <c r="D24" s="6" t="s">
        <v>250</v>
      </c>
      <c r="E24" s="55"/>
      <c r="F24" s="55"/>
      <c r="G24" s="55"/>
      <c r="H24" s="55"/>
      <c r="I24" s="104">
        <f t="shared" si="0"/>
        <v>0</v>
      </c>
      <c r="J24" s="104">
        <f t="shared" si="1"/>
        <v>0</v>
      </c>
    </row>
    <row r="25" spans="4:10" ht="20.25" thickBot="1" x14ac:dyDescent="0.3">
      <c r="D25" s="6" t="s">
        <v>251</v>
      </c>
      <c r="E25" s="55"/>
      <c r="F25" s="55"/>
      <c r="G25" s="55"/>
      <c r="H25" s="55"/>
      <c r="I25" s="104">
        <f t="shared" si="0"/>
        <v>0</v>
      </c>
      <c r="J25" s="104">
        <f t="shared" si="1"/>
        <v>0</v>
      </c>
    </row>
    <row r="26" spans="4:10" ht="20.25" thickBot="1" x14ac:dyDescent="0.3">
      <c r="D26" s="6" t="s">
        <v>252</v>
      </c>
      <c r="E26" s="55"/>
      <c r="F26" s="55"/>
      <c r="G26" s="55"/>
      <c r="H26" s="55"/>
      <c r="I26" s="104">
        <f t="shared" si="0"/>
        <v>0</v>
      </c>
      <c r="J26" s="104">
        <f t="shared" si="1"/>
        <v>0</v>
      </c>
    </row>
    <row r="27" spans="4:10" ht="20.25" thickBot="1" x14ac:dyDescent="0.3">
      <c r="D27" s="6" t="s">
        <v>253</v>
      </c>
      <c r="E27" s="55"/>
      <c r="F27" s="55"/>
      <c r="G27" s="55"/>
      <c r="H27" s="55"/>
      <c r="I27" s="104">
        <f t="shared" si="0"/>
        <v>0</v>
      </c>
      <c r="J27" s="104">
        <f t="shared" si="1"/>
        <v>0</v>
      </c>
    </row>
    <row r="29" spans="4:10" ht="15.75" thickBot="1" x14ac:dyDescent="0.3"/>
    <row r="30" spans="4:10" ht="30.75" thickBot="1" x14ac:dyDescent="0.3">
      <c r="H30" s="77" t="s">
        <v>223</v>
      </c>
      <c r="I30" s="73">
        <f>SUM(I13:I27)</f>
        <v>0</v>
      </c>
      <c r="J30" s="73">
        <f>SUM(J13:J27)</f>
        <v>0</v>
      </c>
    </row>
  </sheetData>
  <sheetProtection algorithmName="SHA-512" hashValue="P9sUk+86z0K0rnMPep6GnRUYDPgX9jzxMte0s2lQPe6Vm/UE1N2JL8kj4bp1acxvj091XqY+2vY8q1//xvV35Q==" saltValue="marVORPl6w6lnTZGuJ/pgA==" spinCount="100000" sheet="1" objects="1" scenarios="1"/>
  <mergeCells count="1">
    <mergeCell ref="D11:D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30"/>
  <sheetViews>
    <sheetView topLeftCell="A9" workbookViewId="0">
      <selection activeCell="E13" sqref="E13:H27"/>
    </sheetView>
  </sheetViews>
  <sheetFormatPr baseColWidth="10" defaultColWidth="10.7109375" defaultRowHeight="15" x14ac:dyDescent="0.25"/>
  <cols>
    <col min="3" max="3" width="2.85546875" customWidth="1"/>
    <col min="4" max="6" width="25.7109375" customWidth="1"/>
    <col min="7" max="7" width="17.42578125" customWidth="1"/>
    <col min="8" max="8" width="17" customWidth="1"/>
    <col min="9" max="9" width="20.5703125" customWidth="1"/>
    <col min="10" max="10" width="14" customWidth="1"/>
  </cols>
  <sheetData>
    <row r="5" spans="3:10" x14ac:dyDescent="0.25">
      <c r="E5" s="31" t="s">
        <v>55</v>
      </c>
      <c r="F5" s="31"/>
      <c r="G5" s="32"/>
    </row>
    <row r="7" spans="3:10" ht="21" x14ac:dyDescent="0.35">
      <c r="E7" s="162" t="s">
        <v>406</v>
      </c>
      <c r="F7" s="162"/>
      <c r="G7" s="162"/>
    </row>
    <row r="9" spans="3:10" ht="19.5" x14ac:dyDescent="0.25">
      <c r="C9" s="4"/>
      <c r="E9" s="103" t="s">
        <v>45</v>
      </c>
    </row>
    <row r="10" spans="3:10" ht="21.75" thickBot="1" x14ac:dyDescent="0.4">
      <c r="D10" s="18" t="s">
        <v>54</v>
      </c>
      <c r="G10" s="33" t="s">
        <v>46</v>
      </c>
    </row>
    <row r="11" spans="3:10" ht="19.5" x14ac:dyDescent="0.25">
      <c r="D11" s="191" t="s">
        <v>0</v>
      </c>
      <c r="E11" s="9" t="s">
        <v>2</v>
      </c>
      <c r="F11" s="12" t="s">
        <v>4</v>
      </c>
      <c r="G11" s="12" t="s">
        <v>19</v>
      </c>
      <c r="H11" s="38" t="s">
        <v>5</v>
      </c>
      <c r="I11" s="41" t="s">
        <v>5</v>
      </c>
      <c r="J11" s="41" t="s">
        <v>5</v>
      </c>
    </row>
    <row r="12" spans="3:10" ht="20.25" thickBot="1" x14ac:dyDescent="0.3">
      <c r="D12" s="192"/>
      <c r="E12" s="10" t="s">
        <v>23</v>
      </c>
      <c r="F12" s="13" t="s">
        <v>23</v>
      </c>
      <c r="G12" s="13" t="s">
        <v>23</v>
      </c>
      <c r="H12" s="13" t="s">
        <v>24</v>
      </c>
      <c r="I12" s="43" t="s">
        <v>15</v>
      </c>
      <c r="J12" s="43" t="s">
        <v>53</v>
      </c>
    </row>
    <row r="13" spans="3:10" ht="20.25" thickBot="1" x14ac:dyDescent="0.3">
      <c r="D13" s="6" t="s">
        <v>254</v>
      </c>
      <c r="E13" s="55"/>
      <c r="F13" s="55"/>
      <c r="G13" s="55"/>
      <c r="H13" s="56"/>
      <c r="I13" s="104">
        <f>(((E13*F13*G13*H13)*350)/50)*1.05</f>
        <v>0</v>
      </c>
      <c r="J13" s="104">
        <f>I13/20</f>
        <v>0</v>
      </c>
    </row>
    <row r="14" spans="3:10" ht="20.25" thickBot="1" x14ac:dyDescent="0.3">
      <c r="D14" s="6" t="s">
        <v>255</v>
      </c>
      <c r="E14" s="55"/>
      <c r="F14" s="55"/>
      <c r="G14" s="55"/>
      <c r="H14" s="56"/>
      <c r="I14" s="104">
        <f t="shared" ref="I14:I27" si="0">(((E14*F14*G14*H14)*350)/50)*1.05</f>
        <v>0</v>
      </c>
      <c r="J14" s="104">
        <f t="shared" ref="J14:J27" si="1">I14/20</f>
        <v>0</v>
      </c>
    </row>
    <row r="15" spans="3:10" ht="20.25" thickBot="1" x14ac:dyDescent="0.3">
      <c r="D15" s="6" t="s">
        <v>256</v>
      </c>
      <c r="E15" s="55"/>
      <c r="F15" s="55"/>
      <c r="G15" s="55"/>
      <c r="H15" s="56"/>
      <c r="I15" s="104">
        <f t="shared" si="0"/>
        <v>0</v>
      </c>
      <c r="J15" s="104">
        <f t="shared" si="1"/>
        <v>0</v>
      </c>
    </row>
    <row r="16" spans="3:10" ht="20.25" thickBot="1" x14ac:dyDescent="0.3">
      <c r="D16" s="6" t="s">
        <v>257</v>
      </c>
      <c r="E16" s="55"/>
      <c r="F16" s="55"/>
      <c r="G16" s="55"/>
      <c r="H16" s="56"/>
      <c r="I16" s="104">
        <f t="shared" si="0"/>
        <v>0</v>
      </c>
      <c r="J16" s="104">
        <f t="shared" si="1"/>
        <v>0</v>
      </c>
    </row>
    <row r="17" spans="4:10" ht="20.25" thickBot="1" x14ac:dyDescent="0.3">
      <c r="D17" s="6" t="s">
        <v>258</v>
      </c>
      <c r="E17" s="55"/>
      <c r="F17" s="55"/>
      <c r="G17" s="55"/>
      <c r="H17" s="56"/>
      <c r="I17" s="104">
        <f t="shared" si="0"/>
        <v>0</v>
      </c>
      <c r="J17" s="104">
        <f t="shared" si="1"/>
        <v>0</v>
      </c>
    </row>
    <row r="18" spans="4:10" ht="20.25" thickBot="1" x14ac:dyDescent="0.3">
      <c r="D18" s="6" t="s">
        <v>259</v>
      </c>
      <c r="E18" s="55"/>
      <c r="F18" s="55"/>
      <c r="G18" s="55"/>
      <c r="H18" s="56"/>
      <c r="I18" s="104">
        <f t="shared" si="0"/>
        <v>0</v>
      </c>
      <c r="J18" s="104">
        <f t="shared" si="1"/>
        <v>0</v>
      </c>
    </row>
    <row r="19" spans="4:10" ht="20.25" thickBot="1" x14ac:dyDescent="0.3">
      <c r="D19" s="6" t="s">
        <v>260</v>
      </c>
      <c r="E19" s="55"/>
      <c r="F19" s="55"/>
      <c r="G19" s="55"/>
      <c r="H19" s="56"/>
      <c r="I19" s="104">
        <f t="shared" si="0"/>
        <v>0</v>
      </c>
      <c r="J19" s="104">
        <f t="shared" si="1"/>
        <v>0</v>
      </c>
    </row>
    <row r="20" spans="4:10" ht="20.25" thickBot="1" x14ac:dyDescent="0.3">
      <c r="D20" s="6" t="s">
        <v>261</v>
      </c>
      <c r="E20" s="55"/>
      <c r="F20" s="55"/>
      <c r="G20" s="55"/>
      <c r="H20" s="56"/>
      <c r="I20" s="104">
        <f t="shared" si="0"/>
        <v>0</v>
      </c>
      <c r="J20" s="104">
        <f t="shared" si="1"/>
        <v>0</v>
      </c>
    </row>
    <row r="21" spans="4:10" ht="20.25" thickBot="1" x14ac:dyDescent="0.3">
      <c r="D21" s="6" t="s">
        <v>262</v>
      </c>
      <c r="E21" s="55"/>
      <c r="F21" s="55"/>
      <c r="G21" s="55"/>
      <c r="H21" s="56"/>
      <c r="I21" s="104">
        <f t="shared" si="0"/>
        <v>0</v>
      </c>
      <c r="J21" s="104">
        <f t="shared" si="1"/>
        <v>0</v>
      </c>
    </row>
    <row r="22" spans="4:10" ht="20.25" thickBot="1" x14ac:dyDescent="0.3">
      <c r="D22" s="6" t="s">
        <v>263</v>
      </c>
      <c r="E22" s="55"/>
      <c r="F22" s="55"/>
      <c r="G22" s="55"/>
      <c r="H22" s="56"/>
      <c r="I22" s="104">
        <f t="shared" si="0"/>
        <v>0</v>
      </c>
      <c r="J22" s="104">
        <f t="shared" si="1"/>
        <v>0</v>
      </c>
    </row>
    <row r="23" spans="4:10" ht="20.25" thickBot="1" x14ac:dyDescent="0.3">
      <c r="D23" s="6" t="s">
        <v>264</v>
      </c>
      <c r="E23" s="55"/>
      <c r="F23" s="55"/>
      <c r="G23" s="55"/>
      <c r="H23" s="56"/>
      <c r="I23" s="104">
        <f t="shared" si="0"/>
        <v>0</v>
      </c>
      <c r="J23" s="104">
        <f t="shared" si="1"/>
        <v>0</v>
      </c>
    </row>
    <row r="24" spans="4:10" ht="20.25" thickBot="1" x14ac:dyDescent="0.3">
      <c r="D24" s="6" t="s">
        <v>265</v>
      </c>
      <c r="E24" s="55"/>
      <c r="F24" s="55"/>
      <c r="G24" s="55"/>
      <c r="H24" s="56"/>
      <c r="I24" s="104">
        <f t="shared" si="0"/>
        <v>0</v>
      </c>
      <c r="J24" s="104">
        <f t="shared" si="1"/>
        <v>0</v>
      </c>
    </row>
    <row r="25" spans="4:10" ht="20.25" thickBot="1" x14ac:dyDescent="0.3">
      <c r="D25" s="6" t="s">
        <v>266</v>
      </c>
      <c r="E25" s="55"/>
      <c r="F25" s="55"/>
      <c r="G25" s="55"/>
      <c r="H25" s="56"/>
      <c r="I25" s="104">
        <f t="shared" si="0"/>
        <v>0</v>
      </c>
      <c r="J25" s="104">
        <f t="shared" si="1"/>
        <v>0</v>
      </c>
    </row>
    <row r="26" spans="4:10" ht="20.25" thickBot="1" x14ac:dyDescent="0.3">
      <c r="D26" s="6" t="s">
        <v>267</v>
      </c>
      <c r="E26" s="55"/>
      <c r="F26" s="55"/>
      <c r="G26" s="55"/>
      <c r="H26" s="56"/>
      <c r="I26" s="104">
        <f t="shared" si="0"/>
        <v>0</v>
      </c>
      <c r="J26" s="104">
        <f t="shared" si="1"/>
        <v>0</v>
      </c>
    </row>
    <row r="27" spans="4:10" ht="20.25" thickBot="1" x14ac:dyDescent="0.3">
      <c r="D27" s="6" t="s">
        <v>268</v>
      </c>
      <c r="E27" s="55"/>
      <c r="F27" s="55"/>
      <c r="G27" s="55"/>
      <c r="H27" s="56"/>
      <c r="I27" s="104">
        <f t="shared" si="0"/>
        <v>0</v>
      </c>
      <c r="J27" s="104">
        <f t="shared" si="1"/>
        <v>0</v>
      </c>
    </row>
    <row r="29" spans="4:10" ht="15.75" thickBot="1" x14ac:dyDescent="0.3"/>
    <row r="30" spans="4:10" ht="30.75" thickBot="1" x14ac:dyDescent="0.3">
      <c r="H30" s="77" t="s">
        <v>223</v>
      </c>
      <c r="I30" s="73">
        <f>SUM(I13:I27)</f>
        <v>0</v>
      </c>
      <c r="J30" s="73">
        <f>SUM(J13:J27)</f>
        <v>0</v>
      </c>
    </row>
  </sheetData>
  <sheetProtection algorithmName="SHA-512" hashValue="xjgYKaU5cIev4WyVHglia+CKCd3bGTRZDi5c8i0VQhMCfAcg1ADbqugPpBzWoZAttwE21QL26oSzn4fM2R8EEA==" saltValue="QpG0YYIV6jI1W2OEXVAloQ==" spinCount="100000" sheet="1" objects="1" scenarios="1"/>
  <mergeCells count="1">
    <mergeCell ref="D11:D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28"/>
  <sheetViews>
    <sheetView topLeftCell="A5" zoomScale="80" zoomScaleNormal="80" workbookViewId="0">
      <selection activeCell="E12" sqref="E12:H26"/>
    </sheetView>
  </sheetViews>
  <sheetFormatPr baseColWidth="10" defaultColWidth="10.7109375" defaultRowHeight="15" x14ac:dyDescent="0.25"/>
  <cols>
    <col min="3" max="3" width="2.85546875" customWidth="1"/>
    <col min="4" max="4" width="25.7109375" customWidth="1"/>
    <col min="5" max="5" width="29.85546875" customWidth="1"/>
    <col min="6" max="6" width="25.7109375" customWidth="1"/>
    <col min="7" max="7" width="17.42578125" customWidth="1"/>
    <col min="8" max="8" width="17" customWidth="1"/>
    <col min="9" max="9" width="20.5703125" customWidth="1"/>
    <col min="10" max="10" width="16.140625" customWidth="1"/>
  </cols>
  <sheetData>
    <row r="4" spans="4:11" ht="18.75" x14ac:dyDescent="0.3">
      <c r="E4" s="48" t="s">
        <v>339</v>
      </c>
      <c r="F4" s="31"/>
      <c r="G4" s="32"/>
    </row>
    <row r="6" spans="4:11" ht="21" x14ac:dyDescent="0.35">
      <c r="E6" s="162" t="s">
        <v>406</v>
      </c>
      <c r="F6" s="162"/>
      <c r="G6" s="162"/>
    </row>
    <row r="8" spans="4:11" ht="19.5" x14ac:dyDescent="0.25">
      <c r="E8" s="20" t="s">
        <v>45</v>
      </c>
    </row>
    <row r="9" spans="4:11" ht="21.75" thickBot="1" x14ac:dyDescent="0.4">
      <c r="D9" s="18" t="s">
        <v>49</v>
      </c>
      <c r="G9" s="33" t="s">
        <v>46</v>
      </c>
      <c r="I9" s="37"/>
      <c r="J9" s="37"/>
    </row>
    <row r="10" spans="4:11" ht="19.5" x14ac:dyDescent="0.25">
      <c r="D10" s="191" t="s">
        <v>0</v>
      </c>
      <c r="E10" s="9" t="s">
        <v>2</v>
      </c>
      <c r="F10" s="12" t="s">
        <v>4</v>
      </c>
      <c r="G10" s="12" t="s">
        <v>19</v>
      </c>
      <c r="H10" s="38" t="s">
        <v>5</v>
      </c>
      <c r="I10" s="40" t="s">
        <v>5</v>
      </c>
      <c r="J10" s="41" t="s">
        <v>5</v>
      </c>
    </row>
    <row r="11" spans="4:11" ht="20.25" thickBot="1" x14ac:dyDescent="0.3">
      <c r="D11" s="192"/>
      <c r="E11" s="10" t="s">
        <v>25</v>
      </c>
      <c r="F11" s="13" t="s">
        <v>25</v>
      </c>
      <c r="G11" s="13" t="s">
        <v>25</v>
      </c>
      <c r="H11" s="39" t="s">
        <v>26</v>
      </c>
      <c r="I11" s="43" t="s">
        <v>15</v>
      </c>
      <c r="J11" s="44" t="s">
        <v>53</v>
      </c>
    </row>
    <row r="12" spans="4:11" ht="20.25" thickBot="1" x14ac:dyDescent="0.3">
      <c r="D12" s="6" t="s">
        <v>269</v>
      </c>
      <c r="E12" s="55"/>
      <c r="F12" s="55"/>
      <c r="G12" s="55"/>
      <c r="H12" s="56"/>
      <c r="I12" s="104">
        <f>((E12*F12*G12*H12)*400)/50</f>
        <v>0</v>
      </c>
      <c r="J12" s="104">
        <f>I12/20</f>
        <v>0</v>
      </c>
      <c r="K12" s="36"/>
    </row>
    <row r="13" spans="4:11" ht="20.25" thickBot="1" x14ac:dyDescent="0.3">
      <c r="D13" s="6" t="s">
        <v>270</v>
      </c>
      <c r="E13" s="55"/>
      <c r="F13" s="55"/>
      <c r="G13" s="55"/>
      <c r="H13" s="56"/>
      <c r="I13" s="104">
        <f t="shared" ref="I13:I26" si="0">((E13*F13*G13*H13)*400)/50</f>
        <v>0</v>
      </c>
      <c r="J13" s="104">
        <f t="shared" ref="J13:J26" si="1">I13/20</f>
        <v>0</v>
      </c>
    </row>
    <row r="14" spans="4:11" ht="20.25" thickBot="1" x14ac:dyDescent="0.3">
      <c r="D14" s="6" t="s">
        <v>271</v>
      </c>
      <c r="E14" s="55"/>
      <c r="F14" s="55"/>
      <c r="G14" s="55"/>
      <c r="H14" s="56"/>
      <c r="I14" s="104">
        <f t="shared" si="0"/>
        <v>0</v>
      </c>
      <c r="J14" s="104">
        <f t="shared" si="1"/>
        <v>0</v>
      </c>
    </row>
    <row r="15" spans="4:11" ht="20.25" thickBot="1" x14ac:dyDescent="0.3">
      <c r="D15" s="6" t="s">
        <v>272</v>
      </c>
      <c r="E15" s="55"/>
      <c r="F15" s="55"/>
      <c r="G15" s="55"/>
      <c r="H15" s="56"/>
      <c r="I15" s="104">
        <f t="shared" si="0"/>
        <v>0</v>
      </c>
      <c r="J15" s="104">
        <f t="shared" si="1"/>
        <v>0</v>
      </c>
    </row>
    <row r="16" spans="4:11" ht="20.25" thickBot="1" x14ac:dyDescent="0.3">
      <c r="D16" s="6" t="s">
        <v>273</v>
      </c>
      <c r="E16" s="55"/>
      <c r="F16" s="55"/>
      <c r="G16" s="55"/>
      <c r="H16" s="56"/>
      <c r="I16" s="104">
        <f t="shared" si="0"/>
        <v>0</v>
      </c>
      <c r="J16" s="104">
        <f t="shared" si="1"/>
        <v>0</v>
      </c>
    </row>
    <row r="17" spans="4:10" ht="20.25" thickBot="1" x14ac:dyDescent="0.3">
      <c r="D17" s="6" t="s">
        <v>274</v>
      </c>
      <c r="E17" s="55"/>
      <c r="F17" s="55"/>
      <c r="G17" s="55"/>
      <c r="H17" s="56"/>
      <c r="I17" s="104">
        <f t="shared" si="0"/>
        <v>0</v>
      </c>
      <c r="J17" s="104">
        <f t="shared" si="1"/>
        <v>0</v>
      </c>
    </row>
    <row r="18" spans="4:10" ht="20.25" thickBot="1" x14ac:dyDescent="0.3">
      <c r="D18" s="6" t="s">
        <v>275</v>
      </c>
      <c r="E18" s="55"/>
      <c r="F18" s="55"/>
      <c r="G18" s="55"/>
      <c r="H18" s="56"/>
      <c r="I18" s="104">
        <f t="shared" si="0"/>
        <v>0</v>
      </c>
      <c r="J18" s="104">
        <f t="shared" si="1"/>
        <v>0</v>
      </c>
    </row>
    <row r="19" spans="4:10" ht="20.25" thickBot="1" x14ac:dyDescent="0.3">
      <c r="D19" s="6" t="s">
        <v>276</v>
      </c>
      <c r="E19" s="55"/>
      <c r="F19" s="55"/>
      <c r="G19" s="55"/>
      <c r="H19" s="56"/>
      <c r="I19" s="104">
        <f t="shared" si="0"/>
        <v>0</v>
      </c>
      <c r="J19" s="104">
        <f t="shared" si="1"/>
        <v>0</v>
      </c>
    </row>
    <row r="20" spans="4:10" ht="20.25" thickBot="1" x14ac:dyDescent="0.3">
      <c r="D20" s="6" t="s">
        <v>277</v>
      </c>
      <c r="E20" s="55"/>
      <c r="F20" s="55"/>
      <c r="G20" s="55"/>
      <c r="H20" s="56"/>
      <c r="I20" s="104">
        <f t="shared" si="0"/>
        <v>0</v>
      </c>
      <c r="J20" s="104">
        <f t="shared" si="1"/>
        <v>0</v>
      </c>
    </row>
    <row r="21" spans="4:10" ht="20.25" thickBot="1" x14ac:dyDescent="0.3">
      <c r="D21" s="6" t="s">
        <v>278</v>
      </c>
      <c r="E21" s="55"/>
      <c r="F21" s="55"/>
      <c r="G21" s="55"/>
      <c r="H21" s="56"/>
      <c r="I21" s="104">
        <f t="shared" si="0"/>
        <v>0</v>
      </c>
      <c r="J21" s="104">
        <f t="shared" si="1"/>
        <v>0</v>
      </c>
    </row>
    <row r="22" spans="4:10" ht="20.25" thickBot="1" x14ac:dyDescent="0.3">
      <c r="D22" s="6" t="s">
        <v>279</v>
      </c>
      <c r="E22" s="55"/>
      <c r="F22" s="55"/>
      <c r="G22" s="55"/>
      <c r="H22" s="56"/>
      <c r="I22" s="104">
        <f t="shared" si="0"/>
        <v>0</v>
      </c>
      <c r="J22" s="104">
        <f t="shared" si="1"/>
        <v>0</v>
      </c>
    </row>
    <row r="23" spans="4:10" ht="20.25" thickBot="1" x14ac:dyDescent="0.3">
      <c r="D23" s="6" t="s">
        <v>280</v>
      </c>
      <c r="E23" s="55"/>
      <c r="F23" s="55"/>
      <c r="G23" s="55"/>
      <c r="H23" s="56"/>
      <c r="I23" s="104">
        <f t="shared" si="0"/>
        <v>0</v>
      </c>
      <c r="J23" s="104">
        <f t="shared" si="1"/>
        <v>0</v>
      </c>
    </row>
    <row r="24" spans="4:10" ht="20.25" thickBot="1" x14ac:dyDescent="0.3">
      <c r="D24" s="6" t="s">
        <v>281</v>
      </c>
      <c r="E24" s="55"/>
      <c r="F24" s="55"/>
      <c r="G24" s="55"/>
      <c r="H24" s="56"/>
      <c r="I24" s="104">
        <f t="shared" si="0"/>
        <v>0</v>
      </c>
      <c r="J24" s="104">
        <f t="shared" si="1"/>
        <v>0</v>
      </c>
    </row>
    <row r="25" spans="4:10" ht="20.25" thickBot="1" x14ac:dyDescent="0.3">
      <c r="D25" s="6" t="s">
        <v>282</v>
      </c>
      <c r="E25" s="55"/>
      <c r="F25" s="55"/>
      <c r="G25" s="55"/>
      <c r="H25" s="56"/>
      <c r="I25" s="104">
        <f t="shared" si="0"/>
        <v>0</v>
      </c>
      <c r="J25" s="104">
        <f t="shared" si="1"/>
        <v>0</v>
      </c>
    </row>
    <row r="26" spans="4:10" ht="20.25" thickBot="1" x14ac:dyDescent="0.3">
      <c r="D26" s="6" t="s">
        <v>283</v>
      </c>
      <c r="E26" s="55"/>
      <c r="F26" s="55"/>
      <c r="G26" s="55"/>
      <c r="H26" s="56"/>
      <c r="I26" s="104">
        <f t="shared" si="0"/>
        <v>0</v>
      </c>
      <c r="J26" s="104">
        <f t="shared" si="1"/>
        <v>0</v>
      </c>
    </row>
    <row r="27" spans="4:10" ht="15.75" thickBot="1" x14ac:dyDescent="0.3"/>
    <row r="28" spans="4:10" ht="30.75" thickBot="1" x14ac:dyDescent="0.3">
      <c r="H28" s="77" t="s">
        <v>223</v>
      </c>
      <c r="I28" s="73">
        <f>SUM(I12:I26)</f>
        <v>0</v>
      </c>
      <c r="J28" s="73">
        <f>SUM(J12:J26)</f>
        <v>0</v>
      </c>
    </row>
  </sheetData>
  <sheetProtection algorithmName="SHA-512" hashValue="JKyyGS9lm1lVqmTYsLNQA1vqukCyKzgJCcb4InoqfAfJ22mCoOgwW1zQ3l9agqsT4MiOIvlrst3Y+5G2udb+jQ==" saltValue="O9Jj9IntfjkyKwjGUBE6nQ==" spinCount="100000" sheet="1" objects="1" scenarios="1"/>
  <mergeCells count="1">
    <mergeCell ref="D10:D1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7"/>
  <sheetViews>
    <sheetView topLeftCell="B7" workbookViewId="0">
      <selection activeCell="D10" sqref="D10:H24"/>
    </sheetView>
  </sheetViews>
  <sheetFormatPr baseColWidth="10" defaultColWidth="10.7109375" defaultRowHeight="15" x14ac:dyDescent="0.25"/>
  <cols>
    <col min="3" max="3" width="28.140625" customWidth="1"/>
    <col min="4" max="5" width="25.7109375" customWidth="1"/>
    <col min="6" max="6" width="19.42578125" customWidth="1"/>
    <col min="7" max="7" width="20" customWidth="1"/>
    <col min="8" max="8" width="21.7109375" customWidth="1"/>
    <col min="9" max="9" width="17.42578125" customWidth="1"/>
    <col min="10" max="10" width="13.5703125" customWidth="1"/>
  </cols>
  <sheetData>
    <row r="2" spans="3:10" x14ac:dyDescent="0.25">
      <c r="D2" s="31" t="s">
        <v>340</v>
      </c>
      <c r="E2" s="31"/>
      <c r="F2" s="32"/>
    </row>
    <row r="4" spans="3:10" ht="21" x14ac:dyDescent="0.35">
      <c r="D4" s="162" t="s">
        <v>407</v>
      </c>
      <c r="E4" s="162"/>
      <c r="F4" s="162"/>
    </row>
    <row r="6" spans="3:10" ht="15.75" x14ac:dyDescent="0.25">
      <c r="D6" s="103" t="s">
        <v>45</v>
      </c>
    </row>
    <row r="7" spans="3:10" ht="21.75" thickBot="1" x14ac:dyDescent="0.4">
      <c r="C7" s="18" t="s">
        <v>52</v>
      </c>
      <c r="F7" s="33" t="s">
        <v>46</v>
      </c>
    </row>
    <row r="8" spans="3:10" ht="19.5" x14ac:dyDescent="0.25">
      <c r="C8" s="191" t="s">
        <v>0</v>
      </c>
      <c r="D8" s="9" t="s">
        <v>2</v>
      </c>
      <c r="E8" s="12" t="s">
        <v>4</v>
      </c>
      <c r="F8" s="12" t="s">
        <v>19</v>
      </c>
      <c r="G8" s="12" t="s">
        <v>388</v>
      </c>
      <c r="H8" s="12" t="s">
        <v>389</v>
      </c>
      <c r="I8" s="34" t="s">
        <v>5</v>
      </c>
      <c r="J8" s="34" t="s">
        <v>5</v>
      </c>
    </row>
    <row r="9" spans="3:10" ht="20.25" thickBot="1" x14ac:dyDescent="0.3">
      <c r="C9" s="192"/>
      <c r="D9" s="10" t="s">
        <v>27</v>
      </c>
      <c r="E9" s="13" t="s">
        <v>27</v>
      </c>
      <c r="F9" s="13" t="s">
        <v>27</v>
      </c>
      <c r="G9" s="13" t="s">
        <v>28</v>
      </c>
      <c r="H9" s="13" t="s">
        <v>28</v>
      </c>
      <c r="I9" s="35" t="s">
        <v>15</v>
      </c>
      <c r="J9" s="35" t="s">
        <v>53</v>
      </c>
    </row>
    <row r="10" spans="3:10" ht="20.25" thickBot="1" x14ac:dyDescent="0.3">
      <c r="C10" s="6" t="s">
        <v>284</v>
      </c>
      <c r="D10" s="55"/>
      <c r="E10" s="55"/>
      <c r="F10" s="55"/>
      <c r="G10" s="55"/>
      <c r="H10" s="55"/>
      <c r="I10" s="106">
        <f>((((D10*E10*F10)-(G10*H10*F10))*350)/50)*1.05</f>
        <v>0</v>
      </c>
      <c r="J10" s="106">
        <f>I10/20</f>
        <v>0</v>
      </c>
    </row>
    <row r="11" spans="3:10" ht="20.25" thickBot="1" x14ac:dyDescent="0.3">
      <c r="C11" s="6" t="s">
        <v>285</v>
      </c>
      <c r="D11" s="55"/>
      <c r="E11" s="55"/>
      <c r="F11" s="55"/>
      <c r="G11" s="55"/>
      <c r="H11" s="55"/>
      <c r="I11" s="106">
        <f t="shared" ref="I11:I24" si="0">((((D11*E11*F11)-(G11*H11*F11))*350)/50)*1.05</f>
        <v>0</v>
      </c>
      <c r="J11" s="106">
        <f t="shared" ref="J11:J24" si="1">I11/20</f>
        <v>0</v>
      </c>
    </row>
    <row r="12" spans="3:10" ht="20.25" thickBot="1" x14ac:dyDescent="0.3">
      <c r="C12" s="6" t="s">
        <v>286</v>
      </c>
      <c r="D12" s="55"/>
      <c r="E12" s="55"/>
      <c r="F12" s="55"/>
      <c r="G12" s="55"/>
      <c r="H12" s="55"/>
      <c r="I12" s="106">
        <f t="shared" si="0"/>
        <v>0</v>
      </c>
      <c r="J12" s="106">
        <f t="shared" si="1"/>
        <v>0</v>
      </c>
    </row>
    <row r="13" spans="3:10" ht="20.25" thickBot="1" x14ac:dyDescent="0.3">
      <c r="C13" s="6" t="s">
        <v>287</v>
      </c>
      <c r="D13" s="55"/>
      <c r="E13" s="55"/>
      <c r="F13" s="55"/>
      <c r="G13" s="55"/>
      <c r="H13" s="55"/>
      <c r="I13" s="106">
        <f t="shared" si="0"/>
        <v>0</v>
      </c>
      <c r="J13" s="106">
        <f t="shared" si="1"/>
        <v>0</v>
      </c>
    </row>
    <row r="14" spans="3:10" ht="20.25" thickBot="1" x14ac:dyDescent="0.3">
      <c r="C14" s="6" t="s">
        <v>288</v>
      </c>
      <c r="D14" s="55"/>
      <c r="E14" s="55"/>
      <c r="F14" s="55"/>
      <c r="G14" s="55"/>
      <c r="H14" s="55"/>
      <c r="I14" s="106">
        <f t="shared" si="0"/>
        <v>0</v>
      </c>
      <c r="J14" s="106">
        <f t="shared" si="1"/>
        <v>0</v>
      </c>
    </row>
    <row r="15" spans="3:10" ht="20.25" thickBot="1" x14ac:dyDescent="0.3">
      <c r="C15" s="6" t="s">
        <v>289</v>
      </c>
      <c r="D15" s="55"/>
      <c r="E15" s="55"/>
      <c r="F15" s="55"/>
      <c r="G15" s="55"/>
      <c r="H15" s="55"/>
      <c r="I15" s="106">
        <f t="shared" si="0"/>
        <v>0</v>
      </c>
      <c r="J15" s="106">
        <f t="shared" si="1"/>
        <v>0</v>
      </c>
    </row>
    <row r="16" spans="3:10" ht="20.25" thickBot="1" x14ac:dyDescent="0.3">
      <c r="C16" s="6" t="s">
        <v>290</v>
      </c>
      <c r="D16" s="55"/>
      <c r="E16" s="55"/>
      <c r="F16" s="55"/>
      <c r="G16" s="55"/>
      <c r="H16" s="55"/>
      <c r="I16" s="106">
        <f t="shared" si="0"/>
        <v>0</v>
      </c>
      <c r="J16" s="106">
        <f t="shared" si="1"/>
        <v>0</v>
      </c>
    </row>
    <row r="17" spans="3:10" ht="20.25" thickBot="1" x14ac:dyDescent="0.3">
      <c r="C17" s="6" t="s">
        <v>291</v>
      </c>
      <c r="D17" s="55"/>
      <c r="E17" s="55"/>
      <c r="F17" s="55"/>
      <c r="G17" s="55"/>
      <c r="H17" s="55"/>
      <c r="I17" s="106">
        <f t="shared" si="0"/>
        <v>0</v>
      </c>
      <c r="J17" s="106">
        <f t="shared" si="1"/>
        <v>0</v>
      </c>
    </row>
    <row r="18" spans="3:10" ht="20.25" thickBot="1" x14ac:dyDescent="0.3">
      <c r="C18" s="6" t="s">
        <v>292</v>
      </c>
      <c r="D18" s="55"/>
      <c r="E18" s="55"/>
      <c r="F18" s="55"/>
      <c r="G18" s="55"/>
      <c r="H18" s="55"/>
      <c r="I18" s="106">
        <f t="shared" si="0"/>
        <v>0</v>
      </c>
      <c r="J18" s="106">
        <f t="shared" si="1"/>
        <v>0</v>
      </c>
    </row>
    <row r="19" spans="3:10" ht="20.25" thickBot="1" x14ac:dyDescent="0.3">
      <c r="C19" s="6" t="s">
        <v>293</v>
      </c>
      <c r="D19" s="55"/>
      <c r="E19" s="55"/>
      <c r="F19" s="55"/>
      <c r="G19" s="55"/>
      <c r="H19" s="55"/>
      <c r="I19" s="106">
        <f t="shared" si="0"/>
        <v>0</v>
      </c>
      <c r="J19" s="106">
        <f t="shared" si="1"/>
        <v>0</v>
      </c>
    </row>
    <row r="20" spans="3:10" ht="20.25" thickBot="1" x14ac:dyDescent="0.3">
      <c r="C20" s="6" t="s">
        <v>294</v>
      </c>
      <c r="D20" s="55"/>
      <c r="E20" s="55"/>
      <c r="F20" s="55"/>
      <c r="G20" s="55"/>
      <c r="H20" s="55"/>
      <c r="I20" s="106">
        <f t="shared" si="0"/>
        <v>0</v>
      </c>
      <c r="J20" s="106">
        <f t="shared" si="1"/>
        <v>0</v>
      </c>
    </row>
    <row r="21" spans="3:10" ht="20.25" thickBot="1" x14ac:dyDescent="0.3">
      <c r="C21" s="6" t="s">
        <v>295</v>
      </c>
      <c r="D21" s="55"/>
      <c r="E21" s="55"/>
      <c r="F21" s="55"/>
      <c r="G21" s="55"/>
      <c r="H21" s="55"/>
      <c r="I21" s="106">
        <f t="shared" si="0"/>
        <v>0</v>
      </c>
      <c r="J21" s="106">
        <f t="shared" si="1"/>
        <v>0</v>
      </c>
    </row>
    <row r="22" spans="3:10" ht="20.25" thickBot="1" x14ac:dyDescent="0.3">
      <c r="C22" s="6" t="s">
        <v>296</v>
      </c>
      <c r="D22" s="55"/>
      <c r="E22" s="55"/>
      <c r="F22" s="55"/>
      <c r="G22" s="55"/>
      <c r="H22" s="55"/>
      <c r="I22" s="106">
        <f t="shared" si="0"/>
        <v>0</v>
      </c>
      <c r="J22" s="106">
        <f t="shared" si="1"/>
        <v>0</v>
      </c>
    </row>
    <row r="23" spans="3:10" ht="20.25" thickBot="1" x14ac:dyDescent="0.3">
      <c r="C23" s="6" t="s">
        <v>297</v>
      </c>
      <c r="D23" s="55"/>
      <c r="E23" s="55"/>
      <c r="F23" s="55"/>
      <c r="G23" s="55"/>
      <c r="H23" s="55"/>
      <c r="I23" s="106">
        <f t="shared" si="0"/>
        <v>0</v>
      </c>
      <c r="J23" s="106">
        <f t="shared" si="1"/>
        <v>0</v>
      </c>
    </row>
    <row r="24" spans="3:10" ht="20.25" thickBot="1" x14ac:dyDescent="0.3">
      <c r="C24" s="6" t="s">
        <v>298</v>
      </c>
      <c r="D24" s="55"/>
      <c r="E24" s="55"/>
      <c r="F24" s="55"/>
      <c r="G24" s="55"/>
      <c r="H24" s="55"/>
      <c r="I24" s="106">
        <f t="shared" si="0"/>
        <v>0</v>
      </c>
      <c r="J24" s="106">
        <f t="shared" si="1"/>
        <v>0</v>
      </c>
    </row>
    <row r="26" spans="3:10" ht="15.75" thickBot="1" x14ac:dyDescent="0.3"/>
    <row r="27" spans="3:10" ht="30.75" thickBot="1" x14ac:dyDescent="0.3">
      <c r="H27" s="77" t="s">
        <v>223</v>
      </c>
      <c r="I27" s="73">
        <f>SUM(I10:I24)</f>
        <v>0</v>
      </c>
      <c r="J27" s="73">
        <f>SUM(J10:J24)</f>
        <v>0</v>
      </c>
    </row>
  </sheetData>
  <sheetProtection algorithmName="SHA-512" hashValue="GrAWM/iSp28FqN0awl1ba/Fv7xBRvySsdif1mte+WXOfcHv2ejIMoEwdNCyl5SnGvi0pERSVx0MpqFoPqlBzUA==" saltValue="HysQf+00fvri7un2WZjcsA==" spinCount="100000" sheet="1" objects="1" scenarios="1"/>
  <mergeCells count="1">
    <mergeCell ref="C8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AF102"/>
  <sheetViews>
    <sheetView topLeftCell="A13" zoomScale="60" zoomScaleNormal="60" workbookViewId="0">
      <selection activeCell="M13" sqref="M13"/>
    </sheetView>
  </sheetViews>
  <sheetFormatPr baseColWidth="10" defaultColWidth="8.85546875" defaultRowHeight="15" x14ac:dyDescent="0.25"/>
  <cols>
    <col min="6" max="6" width="2.85546875" customWidth="1"/>
    <col min="7" max="7" width="25.7109375" customWidth="1"/>
    <col min="8" max="8" width="16.85546875" customWidth="1"/>
    <col min="9" max="9" width="19" customWidth="1"/>
    <col min="10" max="10" width="15.5703125" customWidth="1"/>
    <col min="11" max="11" width="17" customWidth="1"/>
    <col min="12" max="12" width="20.28515625" customWidth="1"/>
    <col min="13" max="14" width="20.5703125" customWidth="1"/>
    <col min="15" max="15" width="22.85546875" customWidth="1"/>
    <col min="16" max="16" width="24.140625" customWidth="1"/>
    <col min="17" max="17" width="23.28515625" customWidth="1"/>
    <col min="18" max="18" width="19.5703125" customWidth="1"/>
    <col min="19" max="19" width="14.5703125" customWidth="1"/>
    <col min="20" max="20" width="20.5703125" customWidth="1"/>
    <col min="21" max="21" width="24" customWidth="1"/>
    <col min="22" max="22" width="18" customWidth="1"/>
    <col min="23" max="27" width="20.5703125" customWidth="1"/>
    <col min="28" max="28" width="18.42578125" customWidth="1"/>
    <col min="29" max="29" width="23" customWidth="1"/>
    <col min="30" max="30" width="24.7109375" customWidth="1"/>
    <col min="31" max="31" width="22.140625" customWidth="1"/>
    <col min="32" max="32" width="16.85546875" customWidth="1"/>
    <col min="33" max="33" width="2.7109375" customWidth="1"/>
  </cols>
  <sheetData>
    <row r="4" spans="6:32" ht="19.5" x14ac:dyDescent="0.25">
      <c r="F4" s="1"/>
      <c r="K4" s="2"/>
      <c r="L4" s="2"/>
      <c r="AD4" s="2"/>
      <c r="AE4" s="1"/>
    </row>
    <row r="5" spans="6:32" ht="19.5" x14ac:dyDescent="0.25">
      <c r="AE5" s="1"/>
      <c r="AF5" s="1"/>
    </row>
    <row r="6" spans="6:32" ht="19.5" x14ac:dyDescent="0.25"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F6" s="2"/>
    </row>
    <row r="7" spans="6:32" ht="19.5" x14ac:dyDescent="0.25">
      <c r="F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E7" s="2"/>
    </row>
    <row r="8" spans="6:32" ht="19.5" x14ac:dyDescent="0.25">
      <c r="F8" s="1"/>
      <c r="O8" s="17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E8" s="2"/>
    </row>
    <row r="9" spans="6:32" ht="19.5" x14ac:dyDescent="0.25">
      <c r="F9" s="1"/>
      <c r="J9" s="16"/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2"/>
      <c r="AC9" s="2"/>
      <c r="AE9" s="2"/>
    </row>
    <row r="10" spans="6:32" ht="23.25" x14ac:dyDescent="0.35">
      <c r="F10" s="1"/>
      <c r="G10" s="2"/>
      <c r="H10" s="2"/>
      <c r="I10" s="17"/>
      <c r="J10" s="17"/>
      <c r="K10" s="158" t="s">
        <v>400</v>
      </c>
      <c r="L10" s="158"/>
      <c r="M10" s="158"/>
      <c r="N10" s="159"/>
      <c r="O10" s="16"/>
      <c r="P10" s="157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E10" s="2"/>
    </row>
    <row r="11" spans="6:32" ht="19.5" x14ac:dyDescent="0.25">
      <c r="F11" s="2"/>
      <c r="G11" s="2"/>
      <c r="H11" s="2"/>
      <c r="I11" s="2"/>
      <c r="J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E11" s="1"/>
    </row>
    <row r="12" spans="6:32" ht="23.25" x14ac:dyDescent="0.35">
      <c r="F12" s="1"/>
      <c r="G12" s="1"/>
      <c r="H12" s="96" t="s">
        <v>350</v>
      </c>
      <c r="I12" s="96"/>
      <c r="J12" s="9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E12" s="1"/>
    </row>
    <row r="13" spans="6:32" ht="19.5" x14ac:dyDescent="0.25">
      <c r="F13" s="1"/>
      <c r="G13" s="1"/>
      <c r="H13" s="1"/>
      <c r="I13" s="1"/>
      <c r="J13" s="1"/>
      <c r="K13" s="3"/>
      <c r="L13" s="3"/>
      <c r="M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E13" s="1"/>
    </row>
    <row r="14" spans="6:32" ht="22.5" x14ac:dyDescent="0.3">
      <c r="F14" s="1"/>
      <c r="G14" s="1"/>
      <c r="H14" s="98" t="s">
        <v>45</v>
      </c>
      <c r="I14" s="20"/>
      <c r="J14" s="1"/>
      <c r="K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6:32" ht="20.25" thickBot="1" x14ac:dyDescent="0.3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6:32" ht="19.5" x14ac:dyDescent="0.25">
      <c r="F16" s="1"/>
      <c r="G16" s="191" t="s">
        <v>0</v>
      </c>
      <c r="H16" s="9" t="s">
        <v>2</v>
      </c>
      <c r="I16" s="9" t="s">
        <v>4</v>
      </c>
      <c r="J16" s="9" t="s">
        <v>19</v>
      </c>
      <c r="K16" s="12" t="s">
        <v>14</v>
      </c>
      <c r="L16" s="50" t="s">
        <v>60</v>
      </c>
      <c r="M16" s="50" t="s">
        <v>60</v>
      </c>
      <c r="N16" s="50" t="s">
        <v>60</v>
      </c>
      <c r="O16" s="45" t="s">
        <v>60</v>
      </c>
      <c r="P16" s="45" t="s">
        <v>60</v>
      </c>
      <c r="Q16" s="45" t="s">
        <v>60</v>
      </c>
      <c r="R16" s="11"/>
    </row>
    <row r="17" spans="6:23" ht="23.25" thickBot="1" x14ac:dyDescent="0.3">
      <c r="F17" s="1"/>
      <c r="G17" s="192"/>
      <c r="H17" s="10" t="s">
        <v>59</v>
      </c>
      <c r="I17" s="10" t="s">
        <v>59</v>
      </c>
      <c r="J17" s="10" t="s">
        <v>59</v>
      </c>
      <c r="K17" s="10" t="s">
        <v>59</v>
      </c>
      <c r="L17" s="51" t="s">
        <v>61</v>
      </c>
      <c r="M17" s="51" t="s">
        <v>70</v>
      </c>
      <c r="N17" s="51" t="s">
        <v>71</v>
      </c>
      <c r="O17" s="46" t="s">
        <v>62</v>
      </c>
      <c r="P17" s="46" t="s">
        <v>334</v>
      </c>
      <c r="Q17" s="47" t="s">
        <v>335</v>
      </c>
    </row>
    <row r="18" spans="6:23" ht="55.9" customHeight="1" thickBot="1" x14ac:dyDescent="0.3">
      <c r="F18" s="4"/>
      <c r="G18" s="7" t="s">
        <v>51</v>
      </c>
      <c r="H18" s="55"/>
      <c r="I18" s="55"/>
      <c r="J18" s="55"/>
      <c r="K18" s="55"/>
      <c r="L18" s="53">
        <f t="shared" ref="L18:L25" si="0">(((H18*I18*J18*K18)*350)/50)*1.05</f>
        <v>0</v>
      </c>
      <c r="M18" s="53">
        <f>(H18*I18*J18*K18*0.8)*1.05</f>
        <v>0</v>
      </c>
      <c r="N18" s="53">
        <f>(H18*I18*J18*K18*0.4)*1.05</f>
        <v>0</v>
      </c>
      <c r="O18" s="54">
        <f t="shared" ref="O18:O25" si="1">L18/20</f>
        <v>0</v>
      </c>
      <c r="P18" s="54">
        <f>(M18*1700)/1000</f>
        <v>0</v>
      </c>
      <c r="Q18" s="54">
        <f>(N18*1600)/1000</f>
        <v>0</v>
      </c>
      <c r="S18" s="5"/>
    </row>
    <row r="19" spans="6:23" ht="55.9" customHeight="1" thickBot="1" x14ac:dyDescent="0.3">
      <c r="F19" s="4"/>
      <c r="G19" s="7" t="s">
        <v>50</v>
      </c>
      <c r="H19" s="55"/>
      <c r="I19" s="55"/>
      <c r="J19" s="55"/>
      <c r="K19" s="55"/>
      <c r="L19" s="53">
        <f t="shared" si="0"/>
        <v>0</v>
      </c>
      <c r="M19" s="53">
        <f t="shared" ref="M19:M25" si="2">(H19*I19*J19*K19*0.8)*1.05</f>
        <v>0</v>
      </c>
      <c r="N19" s="53">
        <f t="shared" ref="N19:N25" si="3">(H19*I19*J19*K19*0.4)*1.05</f>
        <v>0</v>
      </c>
      <c r="O19" s="54">
        <f t="shared" si="1"/>
        <v>0</v>
      </c>
      <c r="P19" s="54">
        <f t="shared" ref="P19:P25" si="4">(M19*1700)/1000</f>
        <v>0</v>
      </c>
      <c r="Q19" s="54">
        <f t="shared" ref="Q19:Q25" si="5">(N19*1600)/1000</f>
        <v>0</v>
      </c>
      <c r="R19" s="1"/>
      <c r="U19" s="5"/>
    </row>
    <row r="20" spans="6:23" ht="55.9" customHeight="1" thickBot="1" x14ac:dyDescent="0.3">
      <c r="F20" s="4"/>
      <c r="G20" s="7" t="s">
        <v>65</v>
      </c>
      <c r="H20" s="55"/>
      <c r="I20" s="55"/>
      <c r="J20" s="55"/>
      <c r="K20" s="55"/>
      <c r="L20" s="53">
        <f t="shared" si="0"/>
        <v>0</v>
      </c>
      <c r="M20" s="53">
        <f t="shared" si="2"/>
        <v>0</v>
      </c>
      <c r="N20" s="53">
        <f t="shared" si="3"/>
        <v>0</v>
      </c>
      <c r="O20" s="54">
        <f t="shared" si="1"/>
        <v>0</v>
      </c>
      <c r="P20" s="54">
        <f t="shared" si="4"/>
        <v>0</v>
      </c>
      <c r="Q20" s="54">
        <f t="shared" si="5"/>
        <v>0</v>
      </c>
      <c r="R20" s="1"/>
      <c r="U20" s="5"/>
    </row>
    <row r="21" spans="6:23" ht="55.9" customHeight="1" thickBot="1" x14ac:dyDescent="0.3">
      <c r="F21" s="4"/>
      <c r="G21" s="7" t="s">
        <v>66</v>
      </c>
      <c r="H21" s="55"/>
      <c r="I21" s="55"/>
      <c r="J21" s="55"/>
      <c r="K21" s="55"/>
      <c r="L21" s="53">
        <f t="shared" si="0"/>
        <v>0</v>
      </c>
      <c r="M21" s="53">
        <f t="shared" si="2"/>
        <v>0</v>
      </c>
      <c r="N21" s="53">
        <f t="shared" si="3"/>
        <v>0</v>
      </c>
      <c r="O21" s="54">
        <f t="shared" si="1"/>
        <v>0</v>
      </c>
      <c r="P21" s="54">
        <f t="shared" si="4"/>
        <v>0</v>
      </c>
      <c r="Q21" s="54">
        <f t="shared" si="5"/>
        <v>0</v>
      </c>
      <c r="R21" s="2"/>
      <c r="U21" s="5"/>
    </row>
    <row r="22" spans="6:23" ht="55.9" customHeight="1" thickBot="1" x14ac:dyDescent="0.3">
      <c r="F22" s="4"/>
      <c r="G22" s="7" t="s">
        <v>67</v>
      </c>
      <c r="H22" s="55"/>
      <c r="I22" s="55"/>
      <c r="J22" s="55"/>
      <c r="K22" s="55"/>
      <c r="L22" s="53">
        <f t="shared" si="0"/>
        <v>0</v>
      </c>
      <c r="M22" s="53">
        <f t="shared" si="2"/>
        <v>0</v>
      </c>
      <c r="N22" s="53">
        <f t="shared" si="3"/>
        <v>0</v>
      </c>
      <c r="O22" s="54">
        <f t="shared" si="1"/>
        <v>0</v>
      </c>
      <c r="P22" s="54">
        <f t="shared" si="4"/>
        <v>0</v>
      </c>
      <c r="Q22" s="54">
        <f t="shared" si="5"/>
        <v>0</v>
      </c>
      <c r="R22" s="1"/>
      <c r="U22" s="16"/>
    </row>
    <row r="23" spans="6:23" ht="55.9" customHeight="1" thickBot="1" x14ac:dyDescent="0.3">
      <c r="F23" s="4"/>
      <c r="G23" s="7" t="s">
        <v>68</v>
      </c>
      <c r="H23" s="55"/>
      <c r="I23" s="55"/>
      <c r="J23" s="55"/>
      <c r="K23" s="55"/>
      <c r="L23" s="53">
        <f t="shared" si="0"/>
        <v>0</v>
      </c>
      <c r="M23" s="53">
        <f t="shared" si="2"/>
        <v>0</v>
      </c>
      <c r="N23" s="53">
        <f t="shared" si="3"/>
        <v>0</v>
      </c>
      <c r="O23" s="54">
        <f t="shared" si="1"/>
        <v>0</v>
      </c>
      <c r="P23" s="54">
        <f t="shared" si="4"/>
        <v>0</v>
      </c>
      <c r="Q23" s="54">
        <f t="shared" si="5"/>
        <v>0</v>
      </c>
    </row>
    <row r="24" spans="6:23" ht="55.9" customHeight="1" thickBot="1" x14ac:dyDescent="0.3">
      <c r="F24" s="4"/>
      <c r="G24" s="7" t="s">
        <v>69</v>
      </c>
      <c r="H24" s="55"/>
      <c r="I24" s="55"/>
      <c r="J24" s="55"/>
      <c r="K24" s="55"/>
      <c r="L24" s="53">
        <f t="shared" si="0"/>
        <v>0</v>
      </c>
      <c r="M24" s="53">
        <f t="shared" si="2"/>
        <v>0</v>
      </c>
      <c r="N24" s="53">
        <f t="shared" si="3"/>
        <v>0</v>
      </c>
      <c r="O24" s="54">
        <f t="shared" si="1"/>
        <v>0</v>
      </c>
      <c r="P24" s="54">
        <f t="shared" si="4"/>
        <v>0</v>
      </c>
      <c r="Q24" s="54">
        <f t="shared" si="5"/>
        <v>0</v>
      </c>
    </row>
    <row r="25" spans="6:23" ht="55.9" customHeight="1" thickBot="1" x14ac:dyDescent="0.3">
      <c r="F25" s="1"/>
      <c r="G25" s="6" t="s">
        <v>52</v>
      </c>
      <c r="H25" s="55"/>
      <c r="I25" s="55"/>
      <c r="J25" s="55"/>
      <c r="K25" s="55"/>
      <c r="L25" s="53">
        <f t="shared" si="0"/>
        <v>0</v>
      </c>
      <c r="M25" s="53">
        <f t="shared" si="2"/>
        <v>0</v>
      </c>
      <c r="N25" s="53">
        <f t="shared" si="3"/>
        <v>0</v>
      </c>
      <c r="O25" s="54">
        <f t="shared" si="1"/>
        <v>0</v>
      </c>
      <c r="P25" s="54">
        <f t="shared" si="4"/>
        <v>0</v>
      </c>
      <c r="Q25" s="54">
        <f t="shared" si="5"/>
        <v>0</v>
      </c>
    </row>
    <row r="26" spans="6:23" ht="19.5" x14ac:dyDescent="0.25">
      <c r="F26" s="1"/>
      <c r="S26" s="1"/>
      <c r="V26" s="1"/>
      <c r="W26" s="1"/>
    </row>
    <row r="27" spans="6:23" ht="20.25" thickBot="1" x14ac:dyDescent="0.3">
      <c r="F27" s="1"/>
      <c r="S27" s="1"/>
      <c r="V27" s="1"/>
    </row>
    <row r="28" spans="6:23" ht="30.75" thickBot="1" x14ac:dyDescent="0.45">
      <c r="F28" s="1"/>
      <c r="K28" s="76" t="s">
        <v>223</v>
      </c>
      <c r="L28" s="73">
        <f>SUM(L18:L25)</f>
        <v>0</v>
      </c>
      <c r="M28" s="73">
        <f t="shared" ref="M28:Q28" si="6">SUM(M18:M25)</f>
        <v>0</v>
      </c>
      <c r="N28" s="73">
        <f t="shared" si="6"/>
        <v>0</v>
      </c>
      <c r="O28" s="73">
        <f t="shared" si="6"/>
        <v>0</v>
      </c>
      <c r="P28" s="73">
        <f t="shared" si="6"/>
        <v>0</v>
      </c>
      <c r="Q28" s="73">
        <f t="shared" si="6"/>
        <v>0</v>
      </c>
      <c r="S28" s="2"/>
    </row>
    <row r="29" spans="6:23" ht="24.6" customHeight="1" x14ac:dyDescent="0.25">
      <c r="F29" s="4"/>
      <c r="K29" s="62"/>
      <c r="S29" s="1"/>
    </row>
    <row r="30" spans="6:23" ht="19.5" x14ac:dyDescent="0.25">
      <c r="F30" s="4"/>
    </row>
    <row r="31" spans="6:23" ht="19.5" x14ac:dyDescent="0.25">
      <c r="F31" s="4"/>
      <c r="O31" s="24"/>
    </row>
    <row r="32" spans="6:23" ht="55.9" customHeight="1" x14ac:dyDescent="0.25">
      <c r="F32" s="4"/>
    </row>
    <row r="33" spans="6:25" ht="19.5" x14ac:dyDescent="0.25">
      <c r="F33" s="4"/>
      <c r="U33" s="1"/>
      <c r="V33" s="1"/>
      <c r="Y33" s="1"/>
    </row>
    <row r="34" spans="6:25" ht="19.5" x14ac:dyDescent="0.25">
      <c r="F34" s="4"/>
      <c r="V34" s="1"/>
      <c r="Y34" s="1"/>
    </row>
    <row r="35" spans="6:25" ht="19.5" x14ac:dyDescent="0.25">
      <c r="F35" s="4"/>
      <c r="V35" s="1"/>
      <c r="Y35" s="1"/>
    </row>
    <row r="36" spans="6:25" ht="19.5" x14ac:dyDescent="0.25">
      <c r="Y36" s="1"/>
    </row>
    <row r="37" spans="6:25" ht="19.5" x14ac:dyDescent="0.25">
      <c r="W37" s="1"/>
    </row>
    <row r="38" spans="6:25" ht="19.5" x14ac:dyDescent="0.25">
      <c r="W38" s="1"/>
    </row>
    <row r="39" spans="6:25" ht="55.9" customHeight="1" x14ac:dyDescent="0.25">
      <c r="W39" s="1"/>
    </row>
    <row r="40" spans="6:25" ht="19.5" x14ac:dyDescent="0.25">
      <c r="Y40" s="1"/>
    </row>
    <row r="41" spans="6:25" ht="19.5" x14ac:dyDescent="0.25">
      <c r="W41">
        <f>1.5/W42</f>
        <v>25</v>
      </c>
      <c r="Y41" s="1"/>
    </row>
    <row r="42" spans="6:25" x14ac:dyDescent="0.25">
      <c r="W42">
        <f>0.2*0.3</f>
        <v>0.06</v>
      </c>
    </row>
    <row r="43" spans="6:25" ht="19.5" x14ac:dyDescent="0.25">
      <c r="F43" s="4"/>
      <c r="T43" s="1"/>
      <c r="U43" s="1">
        <f>W42/1.5</f>
        <v>0.04</v>
      </c>
      <c r="V43" s="1"/>
      <c r="W43" s="1"/>
      <c r="X43" s="4"/>
      <c r="Y43" s="1"/>
    </row>
    <row r="44" spans="6:25" ht="19.5" x14ac:dyDescent="0.25">
      <c r="F44" s="1"/>
      <c r="T44" s="1"/>
      <c r="U44" s="1">
        <f>1/U45</f>
        <v>138.88888888888889</v>
      </c>
      <c r="V44" s="1"/>
      <c r="W44" s="1"/>
      <c r="X44" s="1"/>
      <c r="Y44" s="1"/>
    </row>
    <row r="45" spans="6:25" ht="55.9" customHeight="1" x14ac:dyDescent="0.25">
      <c r="F45" s="4"/>
      <c r="U45">
        <f>0.3*0.3*0.08</f>
        <v>7.1999999999999998E-3</v>
      </c>
    </row>
    <row r="46" spans="6:25" ht="19.5" x14ac:dyDescent="0.25">
      <c r="F46" s="4"/>
      <c r="W46">
        <f>U45/1</f>
        <v>7.1999999999999998E-3</v>
      </c>
    </row>
    <row r="47" spans="6:25" ht="19.5" x14ac:dyDescent="0.25">
      <c r="F47" s="4"/>
    </row>
    <row r="48" spans="6:25" x14ac:dyDescent="0.25">
      <c r="U48">
        <f>1.5/0.2*0.3</f>
        <v>2.25</v>
      </c>
    </row>
    <row r="49" spans="21:27" ht="19.5" x14ac:dyDescent="0.25">
      <c r="W49" s="1"/>
    </row>
    <row r="50" spans="21:27" ht="19.5" x14ac:dyDescent="0.25">
      <c r="W50" s="2"/>
    </row>
    <row r="51" spans="21:27" ht="55.9" customHeight="1" x14ac:dyDescent="0.25">
      <c r="W51" s="2"/>
    </row>
    <row r="52" spans="21:27" ht="19.5" x14ac:dyDescent="0.25">
      <c r="U52">
        <f>U54/U53</f>
        <v>110.97058823529412</v>
      </c>
      <c r="V52">
        <f>1/U53</f>
        <v>98.039215686274503</v>
      </c>
      <c r="W52" s="2"/>
    </row>
    <row r="53" spans="21:27" ht="19.5" x14ac:dyDescent="0.25">
      <c r="U53">
        <f>0.17*0.3*0.2</f>
        <v>1.0200000000000001E-2</v>
      </c>
      <c r="W53" s="2"/>
    </row>
    <row r="54" spans="21:27" ht="19.5" x14ac:dyDescent="0.25">
      <c r="U54">
        <f>1.1*1.05*0.98</f>
        <v>1.1319000000000001</v>
      </c>
      <c r="W54" s="2"/>
    </row>
    <row r="55" spans="21:27" ht="19.5" x14ac:dyDescent="0.25">
      <c r="W55" s="1"/>
    </row>
    <row r="56" spans="21:27" ht="19.5" x14ac:dyDescent="0.25">
      <c r="U56">
        <f>400/1.5</f>
        <v>266.66666666666669</v>
      </c>
      <c r="W56" s="1"/>
    </row>
    <row r="57" spans="21:27" ht="55.9" customHeight="1" x14ac:dyDescent="0.25">
      <c r="W57" s="1"/>
    </row>
    <row r="58" spans="21:27" ht="19.5" x14ac:dyDescent="0.25">
      <c r="X58" s="1"/>
    </row>
    <row r="59" spans="21:27" ht="19.5" x14ac:dyDescent="0.25">
      <c r="X59" s="1"/>
    </row>
    <row r="60" spans="21:27" ht="19.5" x14ac:dyDescent="0.25">
      <c r="V60">
        <f>266*1.5</f>
        <v>399</v>
      </c>
      <c r="X60" s="1"/>
    </row>
    <row r="61" spans="21:27" ht="19.5" x14ac:dyDescent="0.25">
      <c r="X61" s="1"/>
    </row>
    <row r="62" spans="21:27" ht="19.5" x14ac:dyDescent="0.25">
      <c r="X62" s="1"/>
    </row>
    <row r="63" spans="21:27" ht="55.9" customHeight="1" x14ac:dyDescent="0.25">
      <c r="X63" s="1"/>
    </row>
    <row r="64" spans="21:27" ht="19.5" x14ac:dyDescent="0.25">
      <c r="AA64" s="1"/>
    </row>
    <row r="65" spans="19:30" ht="19.5" x14ac:dyDescent="0.25">
      <c r="AA65" s="1"/>
    </row>
    <row r="66" spans="19:30" ht="19.5" x14ac:dyDescent="0.25">
      <c r="AC66" s="1"/>
    </row>
    <row r="67" spans="19:30" ht="21" customHeight="1" x14ac:dyDescent="0.25">
      <c r="S67" s="2"/>
      <c r="AD67" s="1"/>
    </row>
    <row r="68" spans="19:30" ht="21" customHeight="1" x14ac:dyDescent="0.25">
      <c r="AB68" s="1"/>
    </row>
    <row r="69" spans="19:30" ht="19.5" x14ac:dyDescent="0.25">
      <c r="Z69" s="1"/>
    </row>
    <row r="70" spans="19:30" ht="19.5" x14ac:dyDescent="0.25">
      <c r="Z70" s="1"/>
    </row>
    <row r="71" spans="19:30" ht="19.5" x14ac:dyDescent="0.25">
      <c r="Z71" s="1"/>
    </row>
    <row r="72" spans="19:30" ht="19.5" x14ac:dyDescent="0.25">
      <c r="AD72" s="1"/>
    </row>
    <row r="73" spans="19:30" ht="19.5" x14ac:dyDescent="0.25">
      <c r="AD73" s="1"/>
    </row>
    <row r="74" spans="19:30" ht="20.25" thickBot="1" x14ac:dyDescent="0.3">
      <c r="S74" s="1"/>
    </row>
    <row r="75" spans="19:30" ht="19.5" x14ac:dyDescent="0.25">
      <c r="S75" s="14" t="s">
        <v>5</v>
      </c>
    </row>
    <row r="76" spans="19:30" ht="20.25" thickBot="1" x14ac:dyDescent="0.3">
      <c r="S76" s="15" t="s">
        <v>32</v>
      </c>
    </row>
    <row r="77" spans="19:30" ht="20.25" thickBot="1" x14ac:dyDescent="0.3">
      <c r="S77" s="8" t="e">
        <f>#REF!/10</f>
        <v>#REF!</v>
      </c>
    </row>
    <row r="78" spans="19:30" ht="20.25" thickBot="1" x14ac:dyDescent="0.3">
      <c r="S78" s="8" t="e">
        <f>#REF!/10</f>
        <v>#REF!</v>
      </c>
    </row>
    <row r="79" spans="19:30" ht="20.25" thickBot="1" x14ac:dyDescent="0.3">
      <c r="S79" s="8" t="e">
        <f>#REF!/10</f>
        <v>#REF!</v>
      </c>
    </row>
    <row r="82" spans="19:19" ht="20.25" thickBot="1" x14ac:dyDescent="0.3">
      <c r="S82" s="1"/>
    </row>
    <row r="83" spans="19:19" ht="19.5" x14ac:dyDescent="0.25">
      <c r="S83" s="14" t="s">
        <v>5</v>
      </c>
    </row>
    <row r="84" spans="19:19" ht="18.600000000000001" customHeight="1" thickBot="1" x14ac:dyDescent="0.3">
      <c r="S84" s="15" t="s">
        <v>32</v>
      </c>
    </row>
    <row r="85" spans="19:19" ht="19.149999999999999" customHeight="1" thickBot="1" x14ac:dyDescent="0.3">
      <c r="S85" s="8" t="e">
        <f>#REF!/10</f>
        <v>#REF!</v>
      </c>
    </row>
    <row r="86" spans="19:19" ht="20.25" thickBot="1" x14ac:dyDescent="0.3">
      <c r="S86" s="8" t="e">
        <f>#REF!/10</f>
        <v>#REF!</v>
      </c>
    </row>
    <row r="87" spans="19:19" ht="20.25" thickBot="1" x14ac:dyDescent="0.3">
      <c r="S87" s="8" t="e">
        <f>#REF!/10</f>
        <v>#REF!</v>
      </c>
    </row>
    <row r="90" spans="19:19" ht="20.25" thickBot="1" x14ac:dyDescent="0.3">
      <c r="S90" s="1"/>
    </row>
    <row r="91" spans="19:19" ht="19.5" x14ac:dyDescent="0.25">
      <c r="S91" s="14" t="s">
        <v>5</v>
      </c>
    </row>
    <row r="92" spans="19:19" ht="20.25" thickBot="1" x14ac:dyDescent="0.3">
      <c r="S92" s="15" t="s">
        <v>32</v>
      </c>
    </row>
    <row r="93" spans="19:19" ht="20.25" thickBot="1" x14ac:dyDescent="0.3">
      <c r="S93" s="8" t="e">
        <f>#REF!/10</f>
        <v>#REF!</v>
      </c>
    </row>
    <row r="94" spans="19:19" ht="20.25" thickBot="1" x14ac:dyDescent="0.3">
      <c r="S94" s="8" t="e">
        <f>#REF!/10</f>
        <v>#REF!</v>
      </c>
    </row>
    <row r="95" spans="19:19" ht="20.25" thickBot="1" x14ac:dyDescent="0.3">
      <c r="S95" s="8" t="e">
        <f>#REF!/10</f>
        <v>#REF!</v>
      </c>
    </row>
    <row r="98" spans="19:24" ht="19.5" x14ac:dyDescent="0.25">
      <c r="S98" s="1"/>
      <c r="T98" s="1"/>
    </row>
    <row r="100" spans="19:24" x14ac:dyDescent="0.25">
      <c r="W100">
        <f>3.5*3</f>
        <v>10.5</v>
      </c>
    </row>
    <row r="102" spans="19:24" x14ac:dyDescent="0.25">
      <c r="X102">
        <f>10.5/12</f>
        <v>0.875</v>
      </c>
    </row>
  </sheetData>
  <sheetProtection algorithmName="SHA-512" hashValue="CrvSpWQyWdTCpmgA5/PiIcuhnao592RCff9TgvzSnkbTrHAcns1K5DGcONDjdGpMWreuTx5LM2yJzBhZa0h1kQ==" saltValue="a6ODxKKUJvVYzlQJbtk7Pg==" spinCount="100000" sheet="1" objects="1" scenarios="1"/>
  <mergeCells count="1">
    <mergeCell ref="G16:G17"/>
  </mergeCells>
  <pageMargins left="0.7" right="0.7" top="0.75" bottom="0.75" header="0.3" footer="0.3"/>
  <pageSetup paperSize="9" scale="76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32"/>
  <sheetViews>
    <sheetView topLeftCell="A9" zoomScaleNormal="100" zoomScaleSheetLayoutView="94" workbookViewId="0">
      <selection activeCell="E12" sqref="E12:I12"/>
    </sheetView>
  </sheetViews>
  <sheetFormatPr baseColWidth="10" defaultColWidth="10.7109375" defaultRowHeight="15" x14ac:dyDescent="0.25"/>
  <cols>
    <col min="3" max="3" width="25.7109375" customWidth="1"/>
    <col min="4" max="4" width="18.85546875" customWidth="1"/>
    <col min="5" max="5" width="15.5703125" customWidth="1"/>
    <col min="6" max="6" width="16.85546875" customWidth="1"/>
    <col min="7" max="7" width="18.7109375" customWidth="1"/>
    <col min="8" max="8" width="20.5703125" customWidth="1"/>
    <col min="9" max="9" width="18.85546875" customWidth="1"/>
    <col min="10" max="11" width="17.85546875" customWidth="1"/>
  </cols>
  <sheetData>
    <row r="4" spans="2:12" ht="15.75" x14ac:dyDescent="0.25">
      <c r="D4" s="107" t="s">
        <v>385</v>
      </c>
      <c r="E4" s="107"/>
      <c r="F4" s="108"/>
    </row>
    <row r="6" spans="2:12" ht="21" x14ac:dyDescent="0.35">
      <c r="D6" s="162" t="s">
        <v>408</v>
      </c>
      <c r="E6" s="162"/>
      <c r="F6" s="162"/>
      <c r="G6" s="162"/>
    </row>
    <row r="8" spans="2:12" ht="19.5" x14ac:dyDescent="0.25">
      <c r="D8" s="103" t="s">
        <v>45</v>
      </c>
      <c r="E8" s="103"/>
      <c r="H8" s="2"/>
      <c r="I8" s="17"/>
      <c r="J8" s="17"/>
      <c r="K8" s="17"/>
    </row>
    <row r="9" spans="2:12" ht="21.75" thickBot="1" x14ac:dyDescent="0.4">
      <c r="C9" s="19" t="s">
        <v>69</v>
      </c>
      <c r="E9" s="1"/>
      <c r="F9" s="21" t="s">
        <v>46</v>
      </c>
      <c r="G9" s="1"/>
      <c r="H9" s="1"/>
      <c r="I9" s="1"/>
      <c r="J9" s="1"/>
      <c r="K9" s="1"/>
    </row>
    <row r="10" spans="2:12" ht="19.5" x14ac:dyDescent="0.25">
      <c r="C10" s="191" t="s">
        <v>0</v>
      </c>
      <c r="D10" s="91" t="s">
        <v>33</v>
      </c>
      <c r="E10" s="9" t="s">
        <v>2</v>
      </c>
      <c r="F10" s="12" t="s">
        <v>4</v>
      </c>
      <c r="G10" s="12" t="s">
        <v>29</v>
      </c>
      <c r="H10" s="12" t="s">
        <v>388</v>
      </c>
      <c r="I10" s="12" t="s">
        <v>389</v>
      </c>
      <c r="J10" s="14" t="s">
        <v>5</v>
      </c>
      <c r="K10" s="14" t="s">
        <v>5</v>
      </c>
    </row>
    <row r="11" spans="2:12" ht="20.25" thickBot="1" x14ac:dyDescent="0.3">
      <c r="C11" s="192"/>
      <c r="D11" s="92" t="s">
        <v>34</v>
      </c>
      <c r="E11" s="10" t="s">
        <v>27</v>
      </c>
      <c r="F11" s="13" t="s">
        <v>36</v>
      </c>
      <c r="G11" s="13" t="s">
        <v>30</v>
      </c>
      <c r="H11" s="13" t="s">
        <v>28</v>
      </c>
      <c r="I11" s="13" t="s">
        <v>28</v>
      </c>
      <c r="J11" s="15" t="s">
        <v>31</v>
      </c>
      <c r="K11" s="15" t="s">
        <v>32</v>
      </c>
    </row>
    <row r="12" spans="2:12" ht="20.25" thickBot="1" x14ac:dyDescent="0.3">
      <c r="C12" s="6" t="s">
        <v>376</v>
      </c>
      <c r="D12" s="114" t="s">
        <v>76</v>
      </c>
      <c r="E12" s="55"/>
      <c r="F12" s="55"/>
      <c r="G12" s="55"/>
      <c r="H12" s="55"/>
      <c r="I12" s="55"/>
      <c r="J12" s="30" t="e">
        <f>(((((((E12/G12)+1)*F12)+(((F12/G12)+1)*E12))*2)/(14*12))*1.05)-((((H12/G12)*I12)+((I12/G12)*H12))/(14*12))</f>
        <v>#DIV/0!</v>
      </c>
      <c r="K12" s="30" t="e">
        <f>J12/10</f>
        <v>#DIV/0!</v>
      </c>
    </row>
    <row r="13" spans="2:12" ht="20.25" thickBot="1" x14ac:dyDescent="0.3">
      <c r="C13" s="6" t="s">
        <v>376</v>
      </c>
      <c r="D13" s="114" t="s">
        <v>38</v>
      </c>
      <c r="E13" s="55"/>
      <c r="F13" s="55"/>
      <c r="G13" s="55"/>
      <c r="H13" s="55"/>
      <c r="I13" s="55"/>
      <c r="J13" s="30" t="e">
        <f>(((((((E13/G13)+1)*F13)+(((F13/G13)+1)*E13))*2)/(9*12))*1.05)-((((H13/G13)*I13)+((I13/G13)*H13))/(9*12))</f>
        <v>#DIV/0!</v>
      </c>
      <c r="K13" s="30" t="e">
        <f t="shared" ref="K13:K25" si="0">J13/10</f>
        <v>#DIV/0!</v>
      </c>
    </row>
    <row r="14" spans="2:12" ht="20.25" thickBot="1" x14ac:dyDescent="0.3">
      <c r="C14" s="6" t="s">
        <v>376</v>
      </c>
      <c r="D14" s="114" t="s">
        <v>41</v>
      </c>
      <c r="E14" s="55"/>
      <c r="F14" s="55"/>
      <c r="G14" s="55"/>
      <c r="H14" s="55"/>
      <c r="I14" s="55"/>
      <c r="J14" s="30" t="e">
        <f>(((((((E14/G14)+1)*F14)+(((F14/G14)+1)*E14))*2)/(7*12))*1.05)-((((H14/G14)*I14)+((I14/G14)*H14))/(7*12))</f>
        <v>#DIV/0!</v>
      </c>
      <c r="K14" s="30" t="e">
        <f t="shared" si="0"/>
        <v>#DIV/0!</v>
      </c>
    </row>
    <row r="15" spans="2:12" ht="20.25" thickBot="1" x14ac:dyDescent="0.3">
      <c r="C15" s="6" t="s">
        <v>376</v>
      </c>
      <c r="D15" s="114" t="s">
        <v>75</v>
      </c>
      <c r="E15" s="55"/>
      <c r="F15" s="55"/>
      <c r="G15" s="55"/>
      <c r="H15" s="55"/>
      <c r="I15" s="55"/>
      <c r="J15" s="30" t="e">
        <f>(((((((E15/G15)+1)*F15)+(((F15/G15)+1)*E15))*2)/(5*12))*1.05)-((((H15/G15)*I15)+((I15/G15)*H15))/(5*12))</f>
        <v>#DIV/0!</v>
      </c>
      <c r="K15" s="30" t="e">
        <f t="shared" si="0"/>
        <v>#DIV/0!</v>
      </c>
    </row>
    <row r="16" spans="2:12" ht="20.25" thickBot="1" x14ac:dyDescent="0.3">
      <c r="B16" s="16"/>
      <c r="C16" s="135"/>
      <c r="D16" s="134"/>
      <c r="E16" s="132"/>
      <c r="F16" s="132"/>
      <c r="G16" s="132"/>
      <c r="H16" s="132"/>
      <c r="I16" s="132"/>
      <c r="J16" s="132"/>
      <c r="K16" s="132"/>
      <c r="L16" s="16"/>
    </row>
    <row r="17" spans="3:12" ht="20.25" thickBot="1" x14ac:dyDescent="0.3">
      <c r="C17" s="6" t="s">
        <v>377</v>
      </c>
      <c r="D17" s="114" t="s">
        <v>76</v>
      </c>
      <c r="E17" s="55"/>
      <c r="F17" s="55"/>
      <c r="G17" s="55"/>
      <c r="H17" s="55"/>
      <c r="I17" s="55"/>
      <c r="J17" s="30" t="e">
        <f>(((((((E17/G17)+1)*F17)+(((F17/G17)+1)*E17))*2)/(14*12))*1.05)-((((H17/G17)*I17)+((I17/G17)*H17))/(14*12))</f>
        <v>#DIV/0!</v>
      </c>
      <c r="K17" s="30" t="e">
        <f t="shared" si="0"/>
        <v>#DIV/0!</v>
      </c>
    </row>
    <row r="18" spans="3:12" ht="20.25" thickBot="1" x14ac:dyDescent="0.3">
      <c r="C18" s="6" t="s">
        <v>378</v>
      </c>
      <c r="D18" s="114" t="s">
        <v>38</v>
      </c>
      <c r="E18" s="55"/>
      <c r="F18" s="55"/>
      <c r="G18" s="55"/>
      <c r="H18" s="55"/>
      <c r="I18" s="55"/>
      <c r="J18" s="30" t="e">
        <f>(((((((E18/G18)+1)*F18)+(((F18/G18)+1)*E18))*2)/(9*12))*1.05)-((((H18/G18)*I18)+((I18/G18)*H18))/(9*12))</f>
        <v>#DIV/0!</v>
      </c>
      <c r="K18" s="30" t="e">
        <f t="shared" si="0"/>
        <v>#DIV/0!</v>
      </c>
    </row>
    <row r="19" spans="3:12" ht="20.25" thickBot="1" x14ac:dyDescent="0.3">
      <c r="C19" s="6" t="s">
        <v>379</v>
      </c>
      <c r="D19" s="114" t="s">
        <v>41</v>
      </c>
      <c r="E19" s="55"/>
      <c r="F19" s="55"/>
      <c r="G19" s="55"/>
      <c r="H19" s="55"/>
      <c r="I19" s="55"/>
      <c r="J19" s="30" t="e">
        <f>(((((((E19/G19)+1)*F19)+(((F19/G19)+1)*E19))*2)/(7*12))*1.05)-((((H19/G19)*I19)+((I19/G19)*H19))/(7*12))</f>
        <v>#DIV/0!</v>
      </c>
      <c r="K19" s="30" t="e">
        <f t="shared" si="0"/>
        <v>#DIV/0!</v>
      </c>
    </row>
    <row r="20" spans="3:12" ht="20.25" thickBot="1" x14ac:dyDescent="0.3">
      <c r="C20" s="6" t="s">
        <v>380</v>
      </c>
      <c r="D20" s="114" t="s">
        <v>75</v>
      </c>
      <c r="E20" s="55"/>
      <c r="F20" s="55"/>
      <c r="G20" s="55"/>
      <c r="H20" s="55"/>
      <c r="I20" s="55"/>
      <c r="J20" s="30" t="e">
        <f>(((((((E20/G20)+1)*F20)+(((F20/G20)+1)*E20))*2)/(5*12))*1.05)-((((H20/G20)*I20)+((I20/G20)*H20))/(5*12))</f>
        <v>#DIV/0!</v>
      </c>
      <c r="K20" s="30" t="e">
        <f t="shared" si="0"/>
        <v>#DIV/0!</v>
      </c>
    </row>
    <row r="21" spans="3:12" ht="20.25" thickBot="1" x14ac:dyDescent="0.3">
      <c r="C21" s="135"/>
      <c r="D21" s="134"/>
      <c r="E21" s="132"/>
      <c r="F21" s="132"/>
      <c r="G21" s="132"/>
      <c r="H21" s="132"/>
      <c r="I21" s="132"/>
      <c r="J21" s="132"/>
      <c r="K21" s="132"/>
      <c r="L21" s="16"/>
    </row>
    <row r="22" spans="3:12" ht="20.25" thickBot="1" x14ac:dyDescent="0.3">
      <c r="C22" s="6" t="s">
        <v>381</v>
      </c>
      <c r="D22" s="114" t="s">
        <v>76</v>
      </c>
      <c r="E22" s="55"/>
      <c r="F22" s="55"/>
      <c r="G22" s="55"/>
      <c r="H22" s="55"/>
      <c r="I22" s="55"/>
      <c r="J22" s="30" t="e">
        <f>(((((((E22/G22)+1)*F22)+(((F22/G22)+1)*E22))*2)/(14*12))*1.05)-((((H22/G22)*I22)+((I22/G22)*H22))/(14*12))</f>
        <v>#DIV/0!</v>
      </c>
      <c r="K22" s="30" t="e">
        <f t="shared" si="0"/>
        <v>#DIV/0!</v>
      </c>
    </row>
    <row r="23" spans="3:12" ht="20.25" thickBot="1" x14ac:dyDescent="0.3">
      <c r="C23" s="6" t="s">
        <v>382</v>
      </c>
      <c r="D23" s="114" t="s">
        <v>38</v>
      </c>
      <c r="E23" s="55"/>
      <c r="F23" s="55"/>
      <c r="G23" s="55"/>
      <c r="H23" s="55"/>
      <c r="I23" s="55"/>
      <c r="J23" s="30" t="e">
        <f>(((((((E23/G23)+1)*F23)+(((F23/G23)+1)*E23))*2)/(9*12))*1.05)-((((H23/G23)*I23)+((I23/G23)*H23))/(9*12))</f>
        <v>#DIV/0!</v>
      </c>
      <c r="K23" s="30" t="e">
        <f t="shared" si="0"/>
        <v>#DIV/0!</v>
      </c>
    </row>
    <row r="24" spans="3:12" ht="20.25" thickBot="1" x14ac:dyDescent="0.3">
      <c r="C24" s="6" t="s">
        <v>383</v>
      </c>
      <c r="D24" s="114" t="s">
        <v>41</v>
      </c>
      <c r="E24" s="55"/>
      <c r="F24" s="55"/>
      <c r="G24" s="55"/>
      <c r="H24" s="55"/>
      <c r="I24" s="55"/>
      <c r="J24" s="30" t="e">
        <f>(((((((E24/G24)+1)*F24)+(((F24/G24)+1)*E24))*2)/(7*12))*1.05)-((((H24/G24)*I24)+((I24/G24)*H24))/(7*12))</f>
        <v>#DIV/0!</v>
      </c>
      <c r="K24" s="30" t="e">
        <f t="shared" si="0"/>
        <v>#DIV/0!</v>
      </c>
    </row>
    <row r="25" spans="3:12" ht="20.25" thickBot="1" x14ac:dyDescent="0.3">
      <c r="C25" s="6" t="s">
        <v>384</v>
      </c>
      <c r="D25" s="114" t="s">
        <v>75</v>
      </c>
      <c r="E25" s="55"/>
      <c r="F25" s="55"/>
      <c r="G25" s="55"/>
      <c r="H25" s="55"/>
      <c r="I25" s="55"/>
      <c r="J25" s="30" t="e">
        <f>(((((((E25/G25)+1)*F25)+(((F25/G25)+1)*E25))*2)/(5*12))*1.05)-((((H25/G25)*I25)+((I25/G25)*H25))/(5*12))</f>
        <v>#DIV/0!</v>
      </c>
      <c r="K25" s="30" t="e">
        <f t="shared" si="0"/>
        <v>#DIV/0!</v>
      </c>
    </row>
    <row r="27" spans="3:12" ht="15.75" thickBot="1" x14ac:dyDescent="0.3"/>
    <row r="28" spans="3:12" ht="20.25" thickBot="1" x14ac:dyDescent="0.3">
      <c r="C28" s="145"/>
      <c r="I28" s="112" t="s">
        <v>0</v>
      </c>
      <c r="J28" s="112" t="s">
        <v>349</v>
      </c>
      <c r="K28" s="112" t="s">
        <v>349</v>
      </c>
    </row>
    <row r="29" spans="3:12" ht="27.75" thickBot="1" x14ac:dyDescent="0.4">
      <c r="I29" s="111" t="s">
        <v>344</v>
      </c>
      <c r="J29" s="110" t="e">
        <f>J12+J17+J22</f>
        <v>#DIV/0!</v>
      </c>
      <c r="K29" s="109" t="e">
        <f>K12+K17+K22</f>
        <v>#DIV/0!</v>
      </c>
    </row>
    <row r="30" spans="3:12" ht="27.75" thickBot="1" x14ac:dyDescent="0.4">
      <c r="I30" s="111" t="s">
        <v>348</v>
      </c>
      <c r="J30" s="110" t="e">
        <f>J13+J18+J23</f>
        <v>#DIV/0!</v>
      </c>
      <c r="K30" s="109" t="e">
        <f t="shared" ref="K30:K32" si="1">K13+K18+K23</f>
        <v>#DIV/0!</v>
      </c>
    </row>
    <row r="31" spans="3:12" ht="27.75" thickBot="1" x14ac:dyDescent="0.4">
      <c r="I31" s="111" t="s">
        <v>345</v>
      </c>
      <c r="J31" s="110" t="e">
        <f>J14+J19+J24</f>
        <v>#DIV/0!</v>
      </c>
      <c r="K31" s="109" t="e">
        <f t="shared" si="1"/>
        <v>#DIV/0!</v>
      </c>
    </row>
    <row r="32" spans="3:12" ht="27.75" thickBot="1" x14ac:dyDescent="0.4">
      <c r="I32" s="111" t="s">
        <v>346</v>
      </c>
      <c r="J32" s="110" t="e">
        <f>J15+J20+J25</f>
        <v>#DIV/0!</v>
      </c>
      <c r="K32" s="109" t="e">
        <f t="shared" si="1"/>
        <v>#DIV/0!</v>
      </c>
    </row>
  </sheetData>
  <sheetProtection algorithmName="SHA-512" hashValue="84w9cGVC0o01Fe2lmXPQ66Dm1IK018Bwd5otNEB2rnlHWjk1K5OJuuqz2oOyni6Ju29Bap1UQyfKFdlDyJdaPA==" saltValue="naLRSFe4V8zfvFwZFSR3Ig==" spinCount="100000" sheet="1" objects="1" scenarios="1"/>
  <mergeCells count="1">
    <mergeCell ref="C10:C11"/>
  </mergeCells>
  <pageMargins left="0.7" right="0.7" top="0.75" bottom="0.75" header="0.3" footer="0.3"/>
  <pageSetup paperSize="9" scale="4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29"/>
  <sheetViews>
    <sheetView topLeftCell="A6" zoomScaleNormal="100" zoomScaleSheetLayoutView="94" workbookViewId="0">
      <selection activeCell="H25" sqref="H25"/>
    </sheetView>
  </sheetViews>
  <sheetFormatPr baseColWidth="10" defaultColWidth="10.7109375" defaultRowHeight="15" x14ac:dyDescent="0.25"/>
  <cols>
    <col min="3" max="3" width="25.7109375" customWidth="1"/>
    <col min="4" max="4" width="18.85546875" customWidth="1"/>
    <col min="5" max="5" width="15.5703125" customWidth="1"/>
    <col min="6" max="6" width="17.42578125" customWidth="1"/>
    <col min="7" max="7" width="18" customWidth="1"/>
    <col min="8" max="8" width="20.5703125" customWidth="1"/>
    <col min="9" max="9" width="17.140625" customWidth="1"/>
    <col min="10" max="11" width="17.85546875" customWidth="1"/>
  </cols>
  <sheetData>
    <row r="4" spans="3:11" x14ac:dyDescent="0.25">
      <c r="D4" s="27" t="s">
        <v>341</v>
      </c>
      <c r="E4" s="27"/>
      <c r="F4" s="28"/>
    </row>
    <row r="6" spans="3:11" ht="21" x14ac:dyDescent="0.35">
      <c r="D6" s="162" t="s">
        <v>408</v>
      </c>
      <c r="E6" s="162"/>
      <c r="F6" s="162"/>
      <c r="G6" s="162"/>
    </row>
    <row r="8" spans="3:11" ht="19.5" x14ac:dyDescent="0.25">
      <c r="D8" s="103" t="s">
        <v>45</v>
      </c>
      <c r="E8" s="103"/>
      <c r="H8" s="2"/>
      <c r="I8" s="17"/>
      <c r="J8" s="17"/>
      <c r="K8" s="17"/>
    </row>
    <row r="9" spans="3:11" ht="21.75" thickBot="1" x14ac:dyDescent="0.4">
      <c r="C9" s="19" t="s">
        <v>52</v>
      </c>
      <c r="E9" s="1"/>
      <c r="F9" s="21" t="s">
        <v>46</v>
      </c>
      <c r="G9" s="1"/>
      <c r="H9" s="1"/>
      <c r="I9" s="1"/>
      <c r="J9" s="1"/>
      <c r="K9" s="1"/>
    </row>
    <row r="10" spans="3:11" ht="19.5" x14ac:dyDescent="0.25">
      <c r="C10" s="191" t="s">
        <v>0</v>
      </c>
      <c r="D10" s="22" t="s">
        <v>33</v>
      </c>
      <c r="E10" s="9" t="s">
        <v>2</v>
      </c>
      <c r="F10" s="12" t="s">
        <v>4</v>
      </c>
      <c r="G10" s="12" t="s">
        <v>29</v>
      </c>
      <c r="H10" s="12" t="s">
        <v>2</v>
      </c>
      <c r="I10" s="12" t="s">
        <v>4</v>
      </c>
      <c r="J10" s="14" t="s">
        <v>5</v>
      </c>
      <c r="K10" s="14" t="s">
        <v>5</v>
      </c>
    </row>
    <row r="11" spans="3:11" ht="20.25" thickBot="1" x14ac:dyDescent="0.3">
      <c r="C11" s="192"/>
      <c r="D11" s="23" t="s">
        <v>34</v>
      </c>
      <c r="E11" s="10" t="s">
        <v>27</v>
      </c>
      <c r="F11" s="13" t="s">
        <v>36</v>
      </c>
      <c r="G11" s="13" t="s">
        <v>30</v>
      </c>
      <c r="H11" s="13" t="s">
        <v>28</v>
      </c>
      <c r="I11" s="13" t="s">
        <v>28</v>
      </c>
      <c r="J11" s="15" t="s">
        <v>31</v>
      </c>
      <c r="K11" s="15" t="s">
        <v>32</v>
      </c>
    </row>
    <row r="12" spans="3:11" ht="20.25" thickBot="1" x14ac:dyDescent="0.3">
      <c r="C12" s="6" t="s">
        <v>299</v>
      </c>
      <c r="D12" s="114" t="s">
        <v>35</v>
      </c>
      <c r="E12" s="55"/>
      <c r="F12" s="55"/>
      <c r="G12" s="55"/>
      <c r="H12" s="55"/>
      <c r="I12" s="55"/>
      <c r="J12" s="30" t="e">
        <f>((((((E12/G12)+1)*F12)+(((F12/G12)+1)*E12))-(((H12/G12)*I12)+((I12/G12)*H12)))/(36*11))*1.05</f>
        <v>#DIV/0!</v>
      </c>
      <c r="K12" s="30" t="e">
        <f>J12/10</f>
        <v>#DIV/0!</v>
      </c>
    </row>
    <row r="13" spans="3:11" ht="20.25" thickBot="1" x14ac:dyDescent="0.3">
      <c r="C13" s="6" t="s">
        <v>300</v>
      </c>
      <c r="D13" s="114" t="s">
        <v>35</v>
      </c>
      <c r="E13" s="55"/>
      <c r="F13" s="55"/>
      <c r="G13" s="55"/>
      <c r="H13" s="55"/>
      <c r="I13" s="55"/>
      <c r="J13" s="30" t="e">
        <f t="shared" ref="J13:J26" si="0">((((((E13/G13)+1)*F13)+(((F13/G13)+1)*E13))-(((H13/G13)*I13)+((I13/G13)*H13)))/(36*11))*1.05</f>
        <v>#DIV/0!</v>
      </c>
      <c r="K13" s="30" t="e">
        <f t="shared" ref="K13:K26" si="1">J13/10</f>
        <v>#DIV/0!</v>
      </c>
    </row>
    <row r="14" spans="3:11" ht="20.25" thickBot="1" x14ac:dyDescent="0.3">
      <c r="C14" s="6" t="s">
        <v>301</v>
      </c>
      <c r="D14" s="114" t="s">
        <v>35</v>
      </c>
      <c r="E14" s="55"/>
      <c r="F14" s="55"/>
      <c r="G14" s="55"/>
      <c r="H14" s="55"/>
      <c r="I14" s="55"/>
      <c r="J14" s="30" t="e">
        <f t="shared" si="0"/>
        <v>#DIV/0!</v>
      </c>
      <c r="K14" s="30" t="e">
        <f t="shared" si="1"/>
        <v>#DIV/0!</v>
      </c>
    </row>
    <row r="15" spans="3:11" ht="20.25" thickBot="1" x14ac:dyDescent="0.3">
      <c r="C15" s="6" t="s">
        <v>302</v>
      </c>
      <c r="D15" s="114" t="s">
        <v>35</v>
      </c>
      <c r="E15" s="55"/>
      <c r="F15" s="55"/>
      <c r="G15" s="55"/>
      <c r="H15" s="55"/>
      <c r="I15" s="55"/>
      <c r="J15" s="30" t="e">
        <f t="shared" si="0"/>
        <v>#DIV/0!</v>
      </c>
      <c r="K15" s="30" t="e">
        <f t="shared" si="1"/>
        <v>#DIV/0!</v>
      </c>
    </row>
    <row r="16" spans="3:11" ht="20.25" thickBot="1" x14ac:dyDescent="0.3">
      <c r="C16" s="6" t="s">
        <v>303</v>
      </c>
      <c r="D16" s="114" t="s">
        <v>35</v>
      </c>
      <c r="E16" s="55"/>
      <c r="F16" s="55"/>
      <c r="G16" s="55"/>
      <c r="H16" s="55"/>
      <c r="I16" s="55"/>
      <c r="J16" s="30" t="e">
        <f t="shared" si="0"/>
        <v>#DIV/0!</v>
      </c>
      <c r="K16" s="30" t="e">
        <f t="shared" si="1"/>
        <v>#DIV/0!</v>
      </c>
    </row>
    <row r="17" spans="3:11" ht="20.25" thickBot="1" x14ac:dyDescent="0.3">
      <c r="C17" s="6" t="s">
        <v>304</v>
      </c>
      <c r="D17" s="114" t="s">
        <v>35</v>
      </c>
      <c r="E17" s="55"/>
      <c r="F17" s="55"/>
      <c r="G17" s="55"/>
      <c r="H17" s="55"/>
      <c r="I17" s="55"/>
      <c r="J17" s="30" t="e">
        <f t="shared" si="0"/>
        <v>#DIV/0!</v>
      </c>
      <c r="K17" s="30" t="e">
        <f t="shared" si="1"/>
        <v>#DIV/0!</v>
      </c>
    </row>
    <row r="18" spans="3:11" ht="20.25" thickBot="1" x14ac:dyDescent="0.3">
      <c r="C18" s="6" t="s">
        <v>305</v>
      </c>
      <c r="D18" s="114" t="s">
        <v>35</v>
      </c>
      <c r="E18" s="55"/>
      <c r="F18" s="55"/>
      <c r="G18" s="55"/>
      <c r="H18" s="55"/>
      <c r="I18" s="55"/>
      <c r="J18" s="30" t="e">
        <f t="shared" si="0"/>
        <v>#DIV/0!</v>
      </c>
      <c r="K18" s="30" t="e">
        <f t="shared" si="1"/>
        <v>#DIV/0!</v>
      </c>
    </row>
    <row r="19" spans="3:11" ht="20.25" thickBot="1" x14ac:dyDescent="0.3">
      <c r="C19" s="6" t="s">
        <v>306</v>
      </c>
      <c r="D19" s="114" t="s">
        <v>35</v>
      </c>
      <c r="E19" s="55"/>
      <c r="F19" s="55"/>
      <c r="G19" s="55"/>
      <c r="H19" s="55"/>
      <c r="I19" s="55"/>
      <c r="J19" s="30" t="e">
        <f t="shared" si="0"/>
        <v>#DIV/0!</v>
      </c>
      <c r="K19" s="30" t="e">
        <f t="shared" si="1"/>
        <v>#DIV/0!</v>
      </c>
    </row>
    <row r="20" spans="3:11" ht="20.25" thickBot="1" x14ac:dyDescent="0.3">
      <c r="C20" s="6" t="s">
        <v>307</v>
      </c>
      <c r="D20" s="114" t="s">
        <v>35</v>
      </c>
      <c r="E20" s="55"/>
      <c r="F20" s="55"/>
      <c r="G20" s="55"/>
      <c r="H20" s="55"/>
      <c r="I20" s="55"/>
      <c r="J20" s="30" t="e">
        <f t="shared" si="0"/>
        <v>#DIV/0!</v>
      </c>
      <c r="K20" s="30" t="e">
        <f t="shared" si="1"/>
        <v>#DIV/0!</v>
      </c>
    </row>
    <row r="21" spans="3:11" ht="20.25" thickBot="1" x14ac:dyDescent="0.3">
      <c r="C21" s="6" t="s">
        <v>308</v>
      </c>
      <c r="D21" s="114" t="s">
        <v>35</v>
      </c>
      <c r="E21" s="55"/>
      <c r="F21" s="55"/>
      <c r="G21" s="55"/>
      <c r="H21" s="55"/>
      <c r="I21" s="55"/>
      <c r="J21" s="30" t="e">
        <f t="shared" si="0"/>
        <v>#DIV/0!</v>
      </c>
      <c r="K21" s="30" t="e">
        <f t="shared" si="1"/>
        <v>#DIV/0!</v>
      </c>
    </row>
    <row r="22" spans="3:11" ht="20.25" thickBot="1" x14ac:dyDescent="0.3">
      <c r="C22" s="6" t="s">
        <v>309</v>
      </c>
      <c r="D22" s="114" t="s">
        <v>35</v>
      </c>
      <c r="E22" s="55"/>
      <c r="F22" s="55"/>
      <c r="G22" s="55"/>
      <c r="H22" s="55"/>
      <c r="I22" s="55"/>
      <c r="J22" s="30" t="e">
        <f t="shared" si="0"/>
        <v>#DIV/0!</v>
      </c>
      <c r="K22" s="30" t="e">
        <f t="shared" si="1"/>
        <v>#DIV/0!</v>
      </c>
    </row>
    <row r="23" spans="3:11" ht="20.25" thickBot="1" x14ac:dyDescent="0.3">
      <c r="C23" s="6" t="s">
        <v>310</v>
      </c>
      <c r="D23" s="114" t="s">
        <v>35</v>
      </c>
      <c r="E23" s="55"/>
      <c r="F23" s="55"/>
      <c r="G23" s="55"/>
      <c r="H23" s="55"/>
      <c r="I23" s="55"/>
      <c r="J23" s="30" t="e">
        <f t="shared" si="0"/>
        <v>#DIV/0!</v>
      </c>
      <c r="K23" s="30" t="e">
        <f t="shared" si="1"/>
        <v>#DIV/0!</v>
      </c>
    </row>
    <row r="24" spans="3:11" ht="20.25" thickBot="1" x14ac:dyDescent="0.3">
      <c r="C24" s="6" t="s">
        <v>311</v>
      </c>
      <c r="D24" s="114" t="s">
        <v>35</v>
      </c>
      <c r="E24" s="55"/>
      <c r="F24" s="55"/>
      <c r="G24" s="55"/>
      <c r="H24" s="55"/>
      <c r="I24" s="55"/>
      <c r="J24" s="30" t="e">
        <f>((((((E24/G24)+1)*F24)+(((F24/G24)+1)*E24))-(((H24/G24)*I24)+((I24/G24)*H24)))/(36*11))*1.05</f>
        <v>#DIV/0!</v>
      </c>
      <c r="K24" s="30" t="e">
        <f t="shared" si="1"/>
        <v>#DIV/0!</v>
      </c>
    </row>
    <row r="25" spans="3:11" ht="20.25" thickBot="1" x14ac:dyDescent="0.3">
      <c r="C25" s="6" t="s">
        <v>312</v>
      </c>
      <c r="D25" s="114" t="s">
        <v>35</v>
      </c>
      <c r="E25" s="55"/>
      <c r="F25" s="55"/>
      <c r="G25" s="55"/>
      <c r="H25" s="55"/>
      <c r="I25" s="55"/>
      <c r="J25" s="30" t="e">
        <f t="shared" si="0"/>
        <v>#DIV/0!</v>
      </c>
      <c r="K25" s="30" t="e">
        <f t="shared" si="1"/>
        <v>#DIV/0!</v>
      </c>
    </row>
    <row r="26" spans="3:11" ht="20.25" thickBot="1" x14ac:dyDescent="0.3">
      <c r="C26" s="6" t="s">
        <v>313</v>
      </c>
      <c r="D26" s="114" t="s">
        <v>35</v>
      </c>
      <c r="E26" s="55"/>
      <c r="F26" s="55"/>
      <c r="G26" s="55"/>
      <c r="H26" s="55"/>
      <c r="I26" s="55"/>
      <c r="J26" s="30" t="e">
        <f t="shared" si="0"/>
        <v>#DIV/0!</v>
      </c>
      <c r="K26" s="30" t="e">
        <f t="shared" si="1"/>
        <v>#DIV/0!</v>
      </c>
    </row>
    <row r="28" spans="3:11" ht="15.75" thickBot="1" x14ac:dyDescent="0.3"/>
    <row r="29" spans="3:11" ht="30.75" thickBot="1" x14ac:dyDescent="0.3">
      <c r="I29" s="77" t="s">
        <v>223</v>
      </c>
      <c r="J29" s="73" t="e">
        <f>SUM(J12:J26)</f>
        <v>#DIV/0!</v>
      </c>
      <c r="K29" s="73" t="e">
        <f>SUM(K12:K26)</f>
        <v>#DIV/0!</v>
      </c>
    </row>
  </sheetData>
  <sheetProtection algorithmName="SHA-512" hashValue="3GV5pPCaCn0dcD00jSTYbG2zzFjJGfvxCisuXh5wfBGYzp4lpt6mc2WLdP+djlq/ykUc22xAyquGDrrlCGeJIw==" saltValue="zPAJOvCH/dkyniVlNTVR0g==" spinCount="100000" sheet="1" objects="1" scenarios="1"/>
  <mergeCells count="1">
    <mergeCell ref="C10:C11"/>
  </mergeCells>
  <pageMargins left="0.7" right="0.7" top="0.75" bottom="0.75" header="0.3" footer="0.3"/>
  <pageSetup paperSize="9" scale="4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27"/>
  <sheetViews>
    <sheetView topLeftCell="C1" zoomScale="70" zoomScaleNormal="70" workbookViewId="0">
      <selection activeCell="E11" sqref="E11"/>
    </sheetView>
  </sheetViews>
  <sheetFormatPr baseColWidth="10" defaultColWidth="10.7109375" defaultRowHeight="15" x14ac:dyDescent="0.25"/>
  <cols>
    <col min="3" max="3" width="29" customWidth="1"/>
    <col min="4" max="4" width="10.7109375" customWidth="1"/>
    <col min="5" max="5" width="13.7109375" customWidth="1"/>
    <col min="6" max="6" width="12.5703125" customWidth="1"/>
    <col min="7" max="7" width="12" customWidth="1"/>
    <col min="8" max="8" width="15.140625" customWidth="1"/>
    <col min="9" max="9" width="14.140625" customWidth="1"/>
    <col min="10" max="10" width="12.28515625" customWidth="1"/>
    <col min="11" max="11" width="12" customWidth="1"/>
    <col min="12" max="12" width="12.42578125" customWidth="1"/>
    <col min="13" max="14" width="12.28515625" customWidth="1"/>
    <col min="15" max="15" width="12" customWidth="1"/>
    <col min="16" max="16" width="12.28515625" customWidth="1"/>
    <col min="17" max="17" width="12.42578125" customWidth="1"/>
    <col min="18" max="18" width="15.42578125" customWidth="1"/>
    <col min="19" max="19" width="15" customWidth="1"/>
    <col min="20" max="20" width="14.42578125" customWidth="1"/>
    <col min="21" max="21" width="14.85546875" customWidth="1"/>
    <col min="22" max="22" width="12.28515625" customWidth="1"/>
    <col min="23" max="23" width="14.140625" customWidth="1"/>
  </cols>
  <sheetData>
    <row r="3" spans="3:23" ht="18.75" x14ac:dyDescent="0.3">
      <c r="D3" s="133" t="s">
        <v>342</v>
      </c>
      <c r="E3" s="107"/>
      <c r="F3" s="108"/>
      <c r="G3" s="107"/>
    </row>
    <row r="5" spans="3:23" ht="21" x14ac:dyDescent="0.35">
      <c r="D5" s="162" t="s">
        <v>409</v>
      </c>
      <c r="E5" s="162"/>
      <c r="F5" s="162"/>
      <c r="G5" s="162"/>
      <c r="H5" s="162"/>
      <c r="I5" s="162"/>
      <c r="J5" s="162"/>
    </row>
    <row r="7" spans="3:23" ht="19.5" x14ac:dyDescent="0.3">
      <c r="D7" s="102" t="s">
        <v>45</v>
      </c>
      <c r="E7" s="103"/>
    </row>
    <row r="8" spans="3:23" ht="21.75" thickBot="1" x14ac:dyDescent="0.4">
      <c r="C8" s="19" t="s">
        <v>51</v>
      </c>
      <c r="E8" s="1"/>
      <c r="F8" s="21" t="s">
        <v>46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3:23" ht="19.5" x14ac:dyDescent="0.25">
      <c r="C9" s="191" t="s">
        <v>0</v>
      </c>
      <c r="D9" s="142" t="s">
        <v>33</v>
      </c>
      <c r="E9" s="9" t="s">
        <v>2</v>
      </c>
      <c r="F9" s="12" t="s">
        <v>4</v>
      </c>
      <c r="G9" s="12" t="s">
        <v>19</v>
      </c>
      <c r="H9" s="12" t="s">
        <v>43</v>
      </c>
      <c r="I9" s="12" t="s">
        <v>29</v>
      </c>
      <c r="J9" s="12" t="s">
        <v>5</v>
      </c>
      <c r="K9" s="12" t="s">
        <v>14</v>
      </c>
      <c r="L9" s="12" t="s">
        <v>14</v>
      </c>
      <c r="M9" s="12" t="s">
        <v>2</v>
      </c>
      <c r="N9" s="12" t="s">
        <v>2</v>
      </c>
      <c r="O9" s="12" t="s">
        <v>2</v>
      </c>
      <c r="P9" s="12" t="s">
        <v>14</v>
      </c>
      <c r="Q9" s="12" t="s">
        <v>14</v>
      </c>
      <c r="R9" s="12" t="s">
        <v>314</v>
      </c>
      <c r="S9" s="12" t="s">
        <v>316</v>
      </c>
      <c r="T9" s="12" t="s">
        <v>318</v>
      </c>
      <c r="U9" s="12" t="s">
        <v>320</v>
      </c>
      <c r="V9" s="14" t="s">
        <v>5</v>
      </c>
      <c r="W9" s="14" t="s">
        <v>5</v>
      </c>
    </row>
    <row r="10" spans="3:23" ht="20.25" thickBot="1" x14ac:dyDescent="0.3">
      <c r="C10" s="192"/>
      <c r="D10" s="143" t="s">
        <v>34</v>
      </c>
      <c r="E10" s="10" t="s">
        <v>18</v>
      </c>
      <c r="F10" s="10" t="s">
        <v>18</v>
      </c>
      <c r="G10" s="10" t="s">
        <v>18</v>
      </c>
      <c r="H10" s="13" t="s">
        <v>44</v>
      </c>
      <c r="I10" s="13" t="s">
        <v>42</v>
      </c>
      <c r="J10" s="13" t="s">
        <v>40</v>
      </c>
      <c r="K10" s="13" t="s">
        <v>327</v>
      </c>
      <c r="L10" s="13" t="s">
        <v>328</v>
      </c>
      <c r="M10" s="13" t="s">
        <v>327</v>
      </c>
      <c r="N10" s="13" t="s">
        <v>328</v>
      </c>
      <c r="O10" s="13" t="s">
        <v>40</v>
      </c>
      <c r="P10" s="13" t="s">
        <v>39</v>
      </c>
      <c r="Q10" s="10" t="s">
        <v>18</v>
      </c>
      <c r="R10" s="13" t="s">
        <v>315</v>
      </c>
      <c r="S10" s="13" t="s">
        <v>317</v>
      </c>
      <c r="T10" s="13" t="s">
        <v>319</v>
      </c>
      <c r="U10" s="13" t="s">
        <v>321</v>
      </c>
      <c r="V10" s="15" t="s">
        <v>31</v>
      </c>
      <c r="W10" s="15" t="s">
        <v>53</v>
      </c>
    </row>
    <row r="11" spans="3:23" ht="20.25" thickBot="1" x14ac:dyDescent="0.3">
      <c r="C11" s="78" t="s">
        <v>37</v>
      </c>
      <c r="D11" s="93" t="s">
        <v>76</v>
      </c>
      <c r="E11" s="55"/>
      <c r="F11" s="55"/>
      <c r="G11" s="55"/>
      <c r="H11" s="86" t="s">
        <v>1</v>
      </c>
      <c r="I11" s="86" t="s">
        <v>1</v>
      </c>
      <c r="J11" s="86" t="s">
        <v>1</v>
      </c>
      <c r="K11" s="86" t="s">
        <v>1</v>
      </c>
      <c r="L11" s="86" t="s">
        <v>1</v>
      </c>
      <c r="M11" s="88" t="s">
        <v>1</v>
      </c>
      <c r="N11" s="86" t="s">
        <v>1</v>
      </c>
      <c r="O11" s="88" t="s">
        <v>1</v>
      </c>
      <c r="P11" s="55"/>
      <c r="Q11" s="55"/>
      <c r="R11" s="70" t="e">
        <f>12/G11</f>
        <v>#DIV/0!</v>
      </c>
      <c r="S11" s="69" t="e">
        <f>ROUNDDOWN(R11,0)</f>
        <v>#DIV/0!</v>
      </c>
      <c r="T11" s="69" t="e">
        <f>12-(S11*G11)</f>
        <v>#DIV/0!</v>
      </c>
      <c r="U11" s="70" t="e">
        <f t="shared" ref="U11:U18" si="0">(T11/12)</f>
        <v>#DIV/0!</v>
      </c>
      <c r="V11" s="29" t="e">
        <f>((G11*P11*Q11)/(14*12))*(1+U11)</f>
        <v>#DIV/0!</v>
      </c>
      <c r="W11" s="29" t="e">
        <f>V11/10</f>
        <v>#DIV/0!</v>
      </c>
    </row>
    <row r="12" spans="3:23" ht="20.25" thickBot="1" x14ac:dyDescent="0.3">
      <c r="C12" s="78" t="s">
        <v>37</v>
      </c>
      <c r="D12" s="93" t="s">
        <v>38</v>
      </c>
      <c r="E12" s="55"/>
      <c r="F12" s="55"/>
      <c r="G12" s="55"/>
      <c r="H12" s="86" t="s">
        <v>1</v>
      </c>
      <c r="I12" s="86" t="s">
        <v>1</v>
      </c>
      <c r="J12" s="86" t="s">
        <v>1</v>
      </c>
      <c r="K12" s="86" t="s">
        <v>1</v>
      </c>
      <c r="L12" s="86" t="s">
        <v>1</v>
      </c>
      <c r="M12" s="86" t="s">
        <v>1</v>
      </c>
      <c r="N12" s="86" t="s">
        <v>1</v>
      </c>
      <c r="O12" s="86" t="s">
        <v>1</v>
      </c>
      <c r="P12" s="55"/>
      <c r="Q12" s="55"/>
      <c r="R12" s="70" t="e">
        <f t="shared" ref="R12:R16" si="1">12/G12</f>
        <v>#DIV/0!</v>
      </c>
      <c r="S12" s="69" t="e">
        <f t="shared" ref="S12:S16" si="2">ROUNDDOWN(R12,0)</f>
        <v>#DIV/0!</v>
      </c>
      <c r="T12" s="69" t="e">
        <f t="shared" ref="T12:T16" si="3">12-(S12*G12)</f>
        <v>#DIV/0!</v>
      </c>
      <c r="U12" s="70" t="e">
        <f t="shared" si="0"/>
        <v>#DIV/0!</v>
      </c>
      <c r="V12" s="29" t="e">
        <f>((G12*P12*Q12)/(9*12))*(1+U12)</f>
        <v>#DIV/0!</v>
      </c>
      <c r="W12" s="29" t="e">
        <f t="shared" ref="W12:W16" si="4">V12/10</f>
        <v>#DIV/0!</v>
      </c>
    </row>
    <row r="13" spans="3:23" ht="20.25" thickBot="1" x14ac:dyDescent="0.3">
      <c r="C13" s="78" t="s">
        <v>37</v>
      </c>
      <c r="D13" s="93" t="s">
        <v>41</v>
      </c>
      <c r="E13" s="55"/>
      <c r="F13" s="55"/>
      <c r="G13" s="55"/>
      <c r="H13" s="86" t="s">
        <v>1</v>
      </c>
      <c r="I13" s="86" t="s">
        <v>1</v>
      </c>
      <c r="J13" s="86" t="s">
        <v>1</v>
      </c>
      <c r="K13" s="86" t="s">
        <v>1</v>
      </c>
      <c r="L13" s="86" t="s">
        <v>1</v>
      </c>
      <c r="M13" s="86" t="s">
        <v>1</v>
      </c>
      <c r="N13" s="86" t="s">
        <v>1</v>
      </c>
      <c r="O13" s="86" t="s">
        <v>1</v>
      </c>
      <c r="P13" s="55"/>
      <c r="Q13" s="55"/>
      <c r="R13" s="70" t="e">
        <f t="shared" si="1"/>
        <v>#DIV/0!</v>
      </c>
      <c r="S13" s="69" t="e">
        <f t="shared" si="2"/>
        <v>#DIV/0!</v>
      </c>
      <c r="T13" s="69" t="e">
        <f t="shared" si="3"/>
        <v>#DIV/0!</v>
      </c>
      <c r="U13" s="70" t="e">
        <f t="shared" si="0"/>
        <v>#DIV/0!</v>
      </c>
      <c r="V13" s="29" t="e">
        <f>((G13*P13*Q13)/(7*12))*(1+U13)</f>
        <v>#DIV/0!</v>
      </c>
      <c r="W13" s="29" t="e">
        <f t="shared" si="4"/>
        <v>#DIV/0!</v>
      </c>
    </row>
    <row r="14" spans="3:23" ht="20.25" thickBot="1" x14ac:dyDescent="0.3">
      <c r="C14" s="78" t="s">
        <v>37</v>
      </c>
      <c r="D14" s="93" t="s">
        <v>75</v>
      </c>
      <c r="E14" s="55"/>
      <c r="F14" s="55"/>
      <c r="G14" s="55"/>
      <c r="H14" s="86" t="s">
        <v>1</v>
      </c>
      <c r="I14" s="86" t="s">
        <v>1</v>
      </c>
      <c r="J14" s="86" t="s">
        <v>1</v>
      </c>
      <c r="K14" s="89" t="s">
        <v>1</v>
      </c>
      <c r="L14" s="89" t="s">
        <v>1</v>
      </c>
      <c r="M14" s="89" t="s">
        <v>1</v>
      </c>
      <c r="N14" s="89" t="s">
        <v>1</v>
      </c>
      <c r="O14" s="89" t="s">
        <v>1</v>
      </c>
      <c r="P14" s="55"/>
      <c r="Q14" s="55"/>
      <c r="R14" s="70" t="e">
        <f t="shared" si="1"/>
        <v>#DIV/0!</v>
      </c>
      <c r="S14" s="69" t="e">
        <f t="shared" si="2"/>
        <v>#DIV/0!</v>
      </c>
      <c r="T14" s="69" t="e">
        <f t="shared" si="3"/>
        <v>#DIV/0!</v>
      </c>
      <c r="U14" s="70" t="e">
        <f t="shared" si="0"/>
        <v>#DIV/0!</v>
      </c>
      <c r="V14" s="29" t="e">
        <f>((G14*P14*Q14)/(5*12))*(1+U14)</f>
        <v>#DIV/0!</v>
      </c>
      <c r="W14" s="29" t="e">
        <f t="shared" si="4"/>
        <v>#DIV/0!</v>
      </c>
    </row>
    <row r="15" spans="3:23" ht="20.25" thickBot="1" x14ac:dyDescent="0.3">
      <c r="C15" s="78" t="s">
        <v>37</v>
      </c>
      <c r="D15" s="93" t="s">
        <v>322</v>
      </c>
      <c r="E15" s="55"/>
      <c r="F15" s="55"/>
      <c r="G15" s="55"/>
      <c r="H15" s="86" t="s">
        <v>1</v>
      </c>
      <c r="I15" s="86" t="s">
        <v>1</v>
      </c>
      <c r="J15" s="86" t="s">
        <v>1</v>
      </c>
      <c r="K15" s="86" t="s">
        <v>1</v>
      </c>
      <c r="L15" s="86" t="s">
        <v>1</v>
      </c>
      <c r="M15" s="86" t="s">
        <v>1</v>
      </c>
      <c r="N15" s="86" t="s">
        <v>1</v>
      </c>
      <c r="O15" s="86" t="s">
        <v>1</v>
      </c>
      <c r="P15" s="55"/>
      <c r="Q15" s="55"/>
      <c r="R15" s="70" t="e">
        <f t="shared" si="1"/>
        <v>#DIV/0!</v>
      </c>
      <c r="S15" s="69" t="e">
        <f t="shared" si="2"/>
        <v>#DIV/0!</v>
      </c>
      <c r="T15" s="69" t="e">
        <f t="shared" si="3"/>
        <v>#DIV/0!</v>
      </c>
      <c r="U15" s="70" t="e">
        <f t="shared" si="0"/>
        <v>#DIV/0!</v>
      </c>
      <c r="V15" s="29" t="e">
        <f>((G15*P15*Q15)/(3*12))*(1+U15)</f>
        <v>#DIV/0!</v>
      </c>
      <c r="W15" s="29" t="e">
        <f t="shared" si="4"/>
        <v>#DIV/0!</v>
      </c>
    </row>
    <row r="16" spans="3:23" ht="20.25" thickBot="1" x14ac:dyDescent="0.3">
      <c r="C16" s="81" t="s">
        <v>37</v>
      </c>
      <c r="D16" s="113" t="s">
        <v>323</v>
      </c>
      <c r="E16" s="55"/>
      <c r="F16" s="55"/>
      <c r="G16" s="55"/>
      <c r="H16" s="86" t="s">
        <v>1</v>
      </c>
      <c r="I16" s="86" t="s">
        <v>1</v>
      </c>
      <c r="J16" s="86" t="s">
        <v>1</v>
      </c>
      <c r="K16" s="86" t="s">
        <v>1</v>
      </c>
      <c r="L16" s="86" t="s">
        <v>1</v>
      </c>
      <c r="M16" s="86" t="s">
        <v>1</v>
      </c>
      <c r="N16" s="86" t="s">
        <v>1</v>
      </c>
      <c r="O16" s="86" t="s">
        <v>1</v>
      </c>
      <c r="P16" s="55"/>
      <c r="Q16" s="55"/>
      <c r="R16" s="70" t="e">
        <f t="shared" si="1"/>
        <v>#DIV/0!</v>
      </c>
      <c r="S16" s="69" t="e">
        <f t="shared" si="2"/>
        <v>#DIV/0!</v>
      </c>
      <c r="T16" s="69" t="e">
        <f t="shared" si="3"/>
        <v>#DIV/0!</v>
      </c>
      <c r="U16" s="70" t="e">
        <f t="shared" si="0"/>
        <v>#DIV/0!</v>
      </c>
      <c r="V16" s="29" t="e">
        <f>((G16*P16*Q16)/(2*12))*(1+U16)</f>
        <v>#DIV/0!</v>
      </c>
      <c r="W16" s="29" t="e">
        <f t="shared" si="4"/>
        <v>#DIV/0!</v>
      </c>
    </row>
    <row r="17" spans="3:23" ht="20.25" thickBot="1" x14ac:dyDescent="0.3">
      <c r="C17" s="81" t="s">
        <v>324</v>
      </c>
      <c r="D17" s="87" t="s">
        <v>77</v>
      </c>
      <c r="E17" s="55"/>
      <c r="F17" s="55"/>
      <c r="G17" s="55"/>
      <c r="H17" s="59"/>
      <c r="I17" s="59"/>
      <c r="J17" s="82" t="e">
        <f>ROUNDDOWN(H17/I17,0)</f>
        <v>#DIV/0!</v>
      </c>
      <c r="K17" s="86" t="s">
        <v>1</v>
      </c>
      <c r="L17" s="86" t="s">
        <v>1</v>
      </c>
      <c r="M17" s="86" t="s">
        <v>1</v>
      </c>
      <c r="N17" s="86" t="s">
        <v>1</v>
      </c>
      <c r="O17" s="82">
        <f>((F17-0.025)*2)+((G17-0.025)*2)+(10*0.008*2)</f>
        <v>0.06</v>
      </c>
      <c r="P17" s="86" t="s">
        <v>1</v>
      </c>
      <c r="Q17" s="55"/>
      <c r="R17" s="84">
        <f>12/O17</f>
        <v>200</v>
      </c>
      <c r="S17" s="82">
        <f t="shared" ref="S17:S20" si="5">ROUNDDOWN(R17,0)</f>
        <v>200</v>
      </c>
      <c r="T17" s="82">
        <f>12-(S17*O17)</f>
        <v>0</v>
      </c>
      <c r="U17" s="85">
        <f t="shared" si="0"/>
        <v>0</v>
      </c>
      <c r="V17" s="80" t="e">
        <f>((O17*J17*Q17)/(21*12))*(1+U17)</f>
        <v>#DIV/0!</v>
      </c>
      <c r="W17" s="80" t="e">
        <f>V17/10</f>
        <v>#DIV/0!</v>
      </c>
    </row>
    <row r="18" spans="3:23" ht="20.25" thickBot="1" x14ac:dyDescent="0.3">
      <c r="C18" s="81" t="s">
        <v>325</v>
      </c>
      <c r="D18" s="87" t="s">
        <v>77</v>
      </c>
      <c r="E18" s="55"/>
      <c r="F18" s="55"/>
      <c r="G18" s="55"/>
      <c r="H18" s="59"/>
      <c r="I18" s="86" t="s">
        <v>1</v>
      </c>
      <c r="J18" s="86" t="s">
        <v>1</v>
      </c>
      <c r="K18" s="59"/>
      <c r="L18" s="59"/>
      <c r="M18" s="82">
        <f>(F18-0.025)+(5*0.008*2)</f>
        <v>5.5E-2</v>
      </c>
      <c r="N18" s="82">
        <f>(E18-0.025)+(5*0.008*2)</f>
        <v>5.5E-2</v>
      </c>
      <c r="O18" s="86" t="s">
        <v>1</v>
      </c>
      <c r="P18" s="86" t="s">
        <v>1</v>
      </c>
      <c r="Q18" s="55"/>
      <c r="R18" s="84">
        <f>(12/(M18+N18))</f>
        <v>109.09090909090909</v>
      </c>
      <c r="S18" s="82">
        <f t="shared" si="5"/>
        <v>109</v>
      </c>
      <c r="T18" s="82">
        <f>12-(S18*(M18+N18))</f>
        <v>9.9999999999997868E-3</v>
      </c>
      <c r="U18" s="85">
        <f t="shared" si="0"/>
        <v>8.3333333333331561E-4</v>
      </c>
      <c r="V18" s="80">
        <f>((((M18*K18)+(L18*N18))*Q18))/((21*12)*(1+U18))</f>
        <v>0</v>
      </c>
      <c r="W18" s="80">
        <f>V18/10</f>
        <v>0</v>
      </c>
    </row>
    <row r="19" spans="3:23" ht="20.25" thickBot="1" x14ac:dyDescent="0.3">
      <c r="C19" s="81" t="s">
        <v>324</v>
      </c>
      <c r="D19" s="87" t="s">
        <v>35</v>
      </c>
      <c r="E19" s="55"/>
      <c r="F19" s="55"/>
      <c r="G19" s="55"/>
      <c r="H19" s="59"/>
      <c r="I19" s="59"/>
      <c r="J19" s="82" t="e">
        <f t="shared" ref="J19" si="6">ROUNDDOWN(H19/I19,0)</f>
        <v>#DIV/0!</v>
      </c>
      <c r="K19" s="86" t="s">
        <v>1</v>
      </c>
      <c r="L19" s="86" t="s">
        <v>1</v>
      </c>
      <c r="M19" s="86" t="s">
        <v>1</v>
      </c>
      <c r="N19" s="86" t="s">
        <v>1</v>
      </c>
      <c r="O19" s="82">
        <f>((F19-0.025)*2)+((G19-0.025)*2)+(10*0.006*2)</f>
        <v>1.999999999999999E-2</v>
      </c>
      <c r="P19" s="86" t="s">
        <v>1</v>
      </c>
      <c r="Q19" s="55"/>
      <c r="R19" s="84">
        <f t="shared" ref="R19" si="7">11/O19</f>
        <v>550.00000000000023</v>
      </c>
      <c r="S19" s="82">
        <f t="shared" si="5"/>
        <v>550</v>
      </c>
      <c r="T19" s="82">
        <f>11-(S19*O19)</f>
        <v>0</v>
      </c>
      <c r="U19" s="85">
        <f>(T19/11)</f>
        <v>0</v>
      </c>
      <c r="V19" s="80" t="e">
        <f>((J19*O19*Q19)/(36*11))*(1+U19)</f>
        <v>#DIV/0!</v>
      </c>
      <c r="W19" s="80" t="e">
        <f>V19/10</f>
        <v>#DIV/0!</v>
      </c>
    </row>
    <row r="20" spans="3:23" ht="20.25" thickBot="1" x14ac:dyDescent="0.3">
      <c r="C20" s="81" t="s">
        <v>325</v>
      </c>
      <c r="D20" s="87" t="s">
        <v>35</v>
      </c>
      <c r="E20" s="55"/>
      <c r="F20" s="55"/>
      <c r="G20" s="55"/>
      <c r="H20" s="59"/>
      <c r="I20" s="86" t="s">
        <v>1</v>
      </c>
      <c r="J20" s="86" t="s">
        <v>1</v>
      </c>
      <c r="K20" s="59"/>
      <c r="L20" s="59"/>
      <c r="M20" s="82">
        <f>(F20-0.025)+(5*0.006*2)</f>
        <v>3.4999999999999996E-2</v>
      </c>
      <c r="N20" s="82">
        <f>(G20-0.025)+(5*0.006*2)</f>
        <v>3.4999999999999996E-2</v>
      </c>
      <c r="O20" s="86" t="s">
        <v>1</v>
      </c>
      <c r="P20" s="86" t="s">
        <v>1</v>
      </c>
      <c r="Q20" s="55"/>
      <c r="R20" s="84">
        <f>11/(M20+N20)</f>
        <v>157.14285714285717</v>
      </c>
      <c r="S20" s="82">
        <f t="shared" si="5"/>
        <v>157</v>
      </c>
      <c r="T20" s="82">
        <f>11-(S20*(M20+N20))</f>
        <v>1.0000000000001563E-2</v>
      </c>
      <c r="U20" s="85">
        <f>(T20/11)</f>
        <v>9.0909090909105123E-4</v>
      </c>
      <c r="V20" s="80">
        <f>((((M20*K20)+(L20*N20))*Q20)/(36*11))*(1+U20)</f>
        <v>0</v>
      </c>
      <c r="W20" s="80">
        <f>V20/10</f>
        <v>0</v>
      </c>
    </row>
    <row r="22" spans="3:23" ht="15.75" thickBot="1" x14ac:dyDescent="0.3"/>
    <row r="23" spans="3:23" ht="30.75" thickBot="1" x14ac:dyDescent="0.3">
      <c r="U23" s="77" t="s">
        <v>223</v>
      </c>
      <c r="V23" s="73" t="e">
        <f>SUM(V11:V20)</f>
        <v>#DIV/0!</v>
      </c>
      <c r="W23" s="73" t="e">
        <f>SUM(W11:W20)</f>
        <v>#DIV/0!</v>
      </c>
    </row>
    <row r="25" spans="3:23" ht="18.75" x14ac:dyDescent="0.3">
      <c r="D25" s="149" t="s">
        <v>394</v>
      </c>
      <c r="E25" s="149"/>
      <c r="F25" s="149"/>
      <c r="G25" s="149"/>
      <c r="H25" s="150"/>
      <c r="I25" s="149"/>
      <c r="J25" s="149"/>
    </row>
    <row r="27" spans="3:23" x14ac:dyDescent="0.25">
      <c r="H27" s="58"/>
    </row>
  </sheetData>
  <sheetProtection algorithmName="SHA-512" hashValue="dp8QQqo3dhph3cmNrcYAKlWGIsC+vLPsNeuvNjOD9iGs9wnHV5eTkJtLXElSYwFdNzj5ZVFBagOiK8RzfY2qew==" saltValue="3UVRNy8IsVNMtzth6mFieg==" spinCount="100000" sheet="1" objects="1" scenarios="1"/>
  <mergeCells count="1">
    <mergeCell ref="C9:C10"/>
  </mergeCells>
  <pageMargins left="0.7" right="0.7" top="0.75" bottom="0.75" header="0.3" footer="0.3"/>
  <pageSetup paperSize="9" orientation="portrait" r:id="rId1"/>
  <ignoredErrors>
    <ignoredError sqref="T18:T19" 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29"/>
  <sheetViews>
    <sheetView topLeftCell="C1" zoomScale="70" zoomScaleNormal="70" workbookViewId="0">
      <selection activeCell="R24" sqref="R24"/>
    </sheetView>
  </sheetViews>
  <sheetFormatPr baseColWidth="10" defaultColWidth="10.7109375" defaultRowHeight="15" x14ac:dyDescent="0.25"/>
  <cols>
    <col min="3" max="3" width="29" customWidth="1"/>
    <col min="4" max="4" width="10.7109375" customWidth="1"/>
    <col min="5" max="5" width="13.7109375" customWidth="1"/>
    <col min="6" max="6" width="12.28515625" customWidth="1"/>
    <col min="7" max="7" width="12" customWidth="1"/>
    <col min="8" max="8" width="15.140625" customWidth="1"/>
    <col min="9" max="9" width="14.140625" customWidth="1"/>
    <col min="10" max="10" width="12.28515625" customWidth="1"/>
    <col min="11" max="11" width="12" customWidth="1"/>
    <col min="12" max="12" width="12.42578125" customWidth="1"/>
    <col min="13" max="14" width="12.28515625" customWidth="1"/>
    <col min="15" max="15" width="12" customWidth="1"/>
    <col min="16" max="16" width="12.28515625" customWidth="1"/>
    <col min="17" max="17" width="12.42578125" customWidth="1"/>
    <col min="18" max="18" width="15.42578125" customWidth="1"/>
    <col min="19" max="19" width="15" customWidth="1"/>
    <col min="20" max="20" width="14.42578125" customWidth="1"/>
    <col min="21" max="21" width="14.85546875" customWidth="1"/>
    <col min="22" max="22" width="12.28515625" customWidth="1"/>
    <col min="23" max="23" width="14.140625" customWidth="1"/>
  </cols>
  <sheetData>
    <row r="3" spans="3:23" ht="18.75" x14ac:dyDescent="0.3">
      <c r="D3" s="133" t="s">
        <v>390</v>
      </c>
      <c r="E3" s="133"/>
      <c r="F3" s="141"/>
      <c r="G3" s="141"/>
    </row>
    <row r="5" spans="3:23" ht="21" x14ac:dyDescent="0.35">
      <c r="D5" s="162" t="s">
        <v>409</v>
      </c>
      <c r="E5" s="162"/>
      <c r="F5" s="162"/>
      <c r="G5" s="162"/>
      <c r="H5" s="162"/>
      <c r="I5" s="162"/>
      <c r="J5" s="162"/>
      <c r="P5">
        <f>5*4*15</f>
        <v>300</v>
      </c>
    </row>
    <row r="7" spans="3:23" ht="19.5" x14ac:dyDescent="0.3">
      <c r="D7" s="102" t="s">
        <v>45</v>
      </c>
      <c r="E7" s="103"/>
    </row>
    <row r="8" spans="3:23" ht="21.75" thickBot="1" x14ac:dyDescent="0.4">
      <c r="C8" s="19" t="s">
        <v>51</v>
      </c>
      <c r="E8" s="1"/>
      <c r="F8" s="21" t="s">
        <v>46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3:23" ht="19.5" x14ac:dyDescent="0.25">
      <c r="C9" s="191" t="s">
        <v>0</v>
      </c>
      <c r="D9" s="71" t="s">
        <v>33</v>
      </c>
      <c r="E9" s="9" t="s">
        <v>2</v>
      </c>
      <c r="F9" s="12" t="s">
        <v>4</v>
      </c>
      <c r="G9" s="12" t="s">
        <v>19</v>
      </c>
      <c r="H9" s="12" t="s">
        <v>43</v>
      </c>
      <c r="I9" s="12" t="s">
        <v>29</v>
      </c>
      <c r="J9" s="12" t="s">
        <v>5</v>
      </c>
      <c r="K9" s="12" t="s">
        <v>14</v>
      </c>
      <c r="L9" s="12" t="s">
        <v>14</v>
      </c>
      <c r="M9" s="12" t="s">
        <v>2</v>
      </c>
      <c r="N9" s="12" t="s">
        <v>2</v>
      </c>
      <c r="O9" s="12" t="s">
        <v>2</v>
      </c>
      <c r="P9" s="12" t="s">
        <v>14</v>
      </c>
      <c r="Q9" s="12" t="s">
        <v>14</v>
      </c>
      <c r="R9" s="12" t="s">
        <v>314</v>
      </c>
      <c r="S9" s="12" t="s">
        <v>316</v>
      </c>
      <c r="T9" s="12" t="s">
        <v>318</v>
      </c>
      <c r="U9" s="12" t="s">
        <v>320</v>
      </c>
      <c r="V9" s="14" t="s">
        <v>5</v>
      </c>
      <c r="W9" s="14" t="s">
        <v>5</v>
      </c>
    </row>
    <row r="10" spans="3:23" ht="20.25" thickBot="1" x14ac:dyDescent="0.3">
      <c r="C10" s="192"/>
      <c r="D10" s="72" t="s">
        <v>34</v>
      </c>
      <c r="E10" s="10" t="s">
        <v>326</v>
      </c>
      <c r="F10" s="13" t="s">
        <v>326</v>
      </c>
      <c r="G10" s="13" t="s">
        <v>326</v>
      </c>
      <c r="H10" s="13" t="s">
        <v>44</v>
      </c>
      <c r="I10" s="13" t="s">
        <v>42</v>
      </c>
      <c r="J10" s="13" t="s">
        <v>40</v>
      </c>
      <c r="K10" s="13" t="s">
        <v>327</v>
      </c>
      <c r="L10" s="13" t="s">
        <v>328</v>
      </c>
      <c r="M10" s="13" t="s">
        <v>327</v>
      </c>
      <c r="N10" s="13" t="s">
        <v>328</v>
      </c>
      <c r="O10" s="13" t="s">
        <v>40</v>
      </c>
      <c r="P10" s="13" t="s">
        <v>39</v>
      </c>
      <c r="Q10" s="13" t="s">
        <v>22</v>
      </c>
      <c r="R10" s="13" t="s">
        <v>315</v>
      </c>
      <c r="S10" s="13" t="s">
        <v>317</v>
      </c>
      <c r="T10" s="13" t="s">
        <v>319</v>
      </c>
      <c r="U10" s="13" t="s">
        <v>321</v>
      </c>
      <c r="V10" s="15" t="s">
        <v>31</v>
      </c>
      <c r="W10" s="15" t="s">
        <v>53</v>
      </c>
    </row>
    <row r="11" spans="3:23" ht="20.25" thickBot="1" x14ac:dyDescent="0.3">
      <c r="C11" s="78" t="s">
        <v>37</v>
      </c>
      <c r="D11" s="93" t="s">
        <v>76</v>
      </c>
      <c r="E11" s="55"/>
      <c r="F11" s="55"/>
      <c r="G11" s="55"/>
      <c r="H11" s="86" t="s">
        <v>1</v>
      </c>
      <c r="I11" s="86" t="s">
        <v>1</v>
      </c>
      <c r="J11" s="86" t="s">
        <v>1</v>
      </c>
      <c r="K11" s="86" t="s">
        <v>1</v>
      </c>
      <c r="L11" s="86" t="s">
        <v>1</v>
      </c>
      <c r="M11" s="88" t="s">
        <v>1</v>
      </c>
      <c r="N11" s="86" t="s">
        <v>1</v>
      </c>
      <c r="O11" s="88" t="s">
        <v>1</v>
      </c>
      <c r="P11" s="55"/>
      <c r="Q11" s="55"/>
      <c r="R11" s="70" t="e">
        <f>12/E11</f>
        <v>#DIV/0!</v>
      </c>
      <c r="S11" s="69" t="e">
        <f>ROUNDDOWN(R11,0)</f>
        <v>#DIV/0!</v>
      </c>
      <c r="T11" s="69" t="e">
        <f t="shared" ref="T11:T16" si="0">12-(S11*E11)</f>
        <v>#DIV/0!</v>
      </c>
      <c r="U11" s="70" t="e">
        <f t="shared" ref="U11:U18" si="1">(T11/12)</f>
        <v>#DIV/0!</v>
      </c>
      <c r="V11" s="29" t="e">
        <f>((E11*P11*Q11)/(14*12))*(1+U11)</f>
        <v>#DIV/0!</v>
      </c>
      <c r="W11" s="29" t="e">
        <f>V11/10</f>
        <v>#DIV/0!</v>
      </c>
    </row>
    <row r="12" spans="3:23" ht="20.25" thickBot="1" x14ac:dyDescent="0.3">
      <c r="C12" s="78" t="s">
        <v>37</v>
      </c>
      <c r="D12" s="93" t="s">
        <v>38</v>
      </c>
      <c r="E12" s="55"/>
      <c r="F12" s="55"/>
      <c r="G12" s="55"/>
      <c r="H12" s="86" t="s">
        <v>1</v>
      </c>
      <c r="I12" s="86" t="s">
        <v>1</v>
      </c>
      <c r="J12" s="86" t="s">
        <v>1</v>
      </c>
      <c r="K12" s="86" t="s">
        <v>1</v>
      </c>
      <c r="L12" s="86" t="s">
        <v>1</v>
      </c>
      <c r="M12" s="86" t="s">
        <v>1</v>
      </c>
      <c r="N12" s="86" t="s">
        <v>1</v>
      </c>
      <c r="O12" s="86" t="s">
        <v>1</v>
      </c>
      <c r="P12" s="55"/>
      <c r="Q12" s="55"/>
      <c r="R12" s="70" t="e">
        <f t="shared" ref="R12:R16" si="2">12/E12</f>
        <v>#DIV/0!</v>
      </c>
      <c r="S12" s="69" t="e">
        <f t="shared" ref="S12:S16" si="3">ROUNDDOWN(R12,0)</f>
        <v>#DIV/0!</v>
      </c>
      <c r="T12" s="69" t="e">
        <f t="shared" si="0"/>
        <v>#DIV/0!</v>
      </c>
      <c r="U12" s="70" t="e">
        <f t="shared" si="1"/>
        <v>#DIV/0!</v>
      </c>
      <c r="V12" s="29" t="e">
        <f>((E12*P12*Q12)/(9*12))*(1+U12)</f>
        <v>#DIV/0!</v>
      </c>
      <c r="W12" s="29" t="e">
        <f>V12/10</f>
        <v>#DIV/0!</v>
      </c>
    </row>
    <row r="13" spans="3:23" ht="20.25" thickBot="1" x14ac:dyDescent="0.3">
      <c r="C13" s="78" t="s">
        <v>37</v>
      </c>
      <c r="D13" s="93" t="s">
        <v>41</v>
      </c>
      <c r="E13" s="55"/>
      <c r="F13" s="55"/>
      <c r="G13" s="55"/>
      <c r="H13" s="86" t="s">
        <v>1</v>
      </c>
      <c r="I13" s="86" t="s">
        <v>1</v>
      </c>
      <c r="J13" s="86" t="s">
        <v>1</v>
      </c>
      <c r="K13" s="86" t="s">
        <v>1</v>
      </c>
      <c r="L13" s="86" t="s">
        <v>1</v>
      </c>
      <c r="M13" s="86" t="s">
        <v>1</v>
      </c>
      <c r="N13" s="86" t="s">
        <v>1</v>
      </c>
      <c r="O13" s="86" t="s">
        <v>1</v>
      </c>
      <c r="P13" s="55"/>
      <c r="Q13" s="55"/>
      <c r="R13" s="70" t="e">
        <f t="shared" si="2"/>
        <v>#DIV/0!</v>
      </c>
      <c r="S13" s="69" t="e">
        <f t="shared" si="3"/>
        <v>#DIV/0!</v>
      </c>
      <c r="T13" s="69" t="e">
        <f t="shared" si="0"/>
        <v>#DIV/0!</v>
      </c>
      <c r="U13" s="70" t="e">
        <f t="shared" si="1"/>
        <v>#DIV/0!</v>
      </c>
      <c r="V13" s="29" t="e">
        <f>((E13*P13*Q13)/(7*12))*(1+U13)</f>
        <v>#DIV/0!</v>
      </c>
      <c r="W13" s="29" t="e">
        <f t="shared" ref="W13:W16" si="4">V13/10</f>
        <v>#DIV/0!</v>
      </c>
    </row>
    <row r="14" spans="3:23" ht="20.25" thickBot="1" x14ac:dyDescent="0.3">
      <c r="C14" s="78" t="s">
        <v>37</v>
      </c>
      <c r="D14" s="93" t="s">
        <v>75</v>
      </c>
      <c r="E14" s="55"/>
      <c r="F14" s="55"/>
      <c r="G14" s="55"/>
      <c r="H14" s="86" t="s">
        <v>1</v>
      </c>
      <c r="I14" s="86" t="s">
        <v>1</v>
      </c>
      <c r="J14" s="86" t="s">
        <v>1</v>
      </c>
      <c r="K14" s="89" t="s">
        <v>1</v>
      </c>
      <c r="L14" s="89" t="s">
        <v>1</v>
      </c>
      <c r="M14" s="89" t="s">
        <v>1</v>
      </c>
      <c r="N14" s="89" t="s">
        <v>1</v>
      </c>
      <c r="O14" s="89" t="s">
        <v>1</v>
      </c>
      <c r="P14" s="55"/>
      <c r="Q14" s="55"/>
      <c r="R14" s="70" t="e">
        <f t="shared" si="2"/>
        <v>#DIV/0!</v>
      </c>
      <c r="S14" s="69" t="e">
        <f t="shared" si="3"/>
        <v>#DIV/0!</v>
      </c>
      <c r="T14" s="69" t="e">
        <f t="shared" si="0"/>
        <v>#DIV/0!</v>
      </c>
      <c r="U14" s="70" t="e">
        <f t="shared" si="1"/>
        <v>#DIV/0!</v>
      </c>
      <c r="V14" s="29" t="e">
        <f>((E14*P14*Q14)/(5*12))*(1+U14)</f>
        <v>#DIV/0!</v>
      </c>
      <c r="W14" s="29" t="e">
        <f t="shared" si="4"/>
        <v>#DIV/0!</v>
      </c>
    </row>
    <row r="15" spans="3:23" ht="20.25" thickBot="1" x14ac:dyDescent="0.3">
      <c r="C15" s="78" t="s">
        <v>37</v>
      </c>
      <c r="D15" s="93" t="s">
        <v>322</v>
      </c>
      <c r="E15" s="55"/>
      <c r="F15" s="55"/>
      <c r="G15" s="55"/>
      <c r="H15" s="86" t="s">
        <v>1</v>
      </c>
      <c r="I15" s="86" t="s">
        <v>1</v>
      </c>
      <c r="J15" s="86" t="s">
        <v>1</v>
      </c>
      <c r="K15" s="86" t="s">
        <v>1</v>
      </c>
      <c r="L15" s="86" t="s">
        <v>1</v>
      </c>
      <c r="M15" s="86" t="s">
        <v>1</v>
      </c>
      <c r="N15" s="86" t="s">
        <v>1</v>
      </c>
      <c r="O15" s="86" t="s">
        <v>1</v>
      </c>
      <c r="P15" s="55"/>
      <c r="Q15" s="55"/>
      <c r="R15" s="70" t="e">
        <f t="shared" si="2"/>
        <v>#DIV/0!</v>
      </c>
      <c r="S15" s="69" t="e">
        <f t="shared" si="3"/>
        <v>#DIV/0!</v>
      </c>
      <c r="T15" s="69" t="e">
        <f t="shared" si="0"/>
        <v>#DIV/0!</v>
      </c>
      <c r="U15" s="70" t="e">
        <f t="shared" si="1"/>
        <v>#DIV/0!</v>
      </c>
      <c r="V15" s="29" t="e">
        <f>((E15*P15*Q15)/(3*12))*(1+U15)</f>
        <v>#DIV/0!</v>
      </c>
      <c r="W15" s="29" t="e">
        <f t="shared" si="4"/>
        <v>#DIV/0!</v>
      </c>
    </row>
    <row r="16" spans="3:23" ht="20.25" thickBot="1" x14ac:dyDescent="0.3">
      <c r="C16" s="81" t="s">
        <v>37</v>
      </c>
      <c r="D16" s="113" t="s">
        <v>323</v>
      </c>
      <c r="E16" s="55"/>
      <c r="F16" s="55"/>
      <c r="G16" s="55"/>
      <c r="H16" s="86" t="s">
        <v>1</v>
      </c>
      <c r="I16" s="86" t="s">
        <v>1</v>
      </c>
      <c r="J16" s="86" t="s">
        <v>1</v>
      </c>
      <c r="K16" s="86" t="s">
        <v>1</v>
      </c>
      <c r="L16" s="86" t="s">
        <v>1</v>
      </c>
      <c r="M16" s="86" t="s">
        <v>1</v>
      </c>
      <c r="N16" s="86" t="s">
        <v>1</v>
      </c>
      <c r="O16" s="86" t="s">
        <v>1</v>
      </c>
      <c r="P16" s="55"/>
      <c r="Q16" s="55"/>
      <c r="R16" s="70" t="e">
        <f t="shared" si="2"/>
        <v>#DIV/0!</v>
      </c>
      <c r="S16" s="69" t="e">
        <f t="shared" si="3"/>
        <v>#DIV/0!</v>
      </c>
      <c r="T16" s="69" t="e">
        <f t="shared" si="0"/>
        <v>#DIV/0!</v>
      </c>
      <c r="U16" s="70" t="e">
        <f t="shared" si="1"/>
        <v>#DIV/0!</v>
      </c>
      <c r="V16" s="29" t="e">
        <f>((E16*P16*Q16)/(2*12))*(1+U16)</f>
        <v>#DIV/0!</v>
      </c>
      <c r="W16" s="29" t="e">
        <f t="shared" si="4"/>
        <v>#DIV/0!</v>
      </c>
    </row>
    <row r="17" spans="3:23" ht="20.25" thickBot="1" x14ac:dyDescent="0.3">
      <c r="C17" s="81" t="s">
        <v>324</v>
      </c>
      <c r="D17" s="87" t="s">
        <v>77</v>
      </c>
      <c r="E17" s="55"/>
      <c r="F17" s="55"/>
      <c r="G17" s="55"/>
      <c r="H17" s="59"/>
      <c r="I17" s="59"/>
      <c r="J17" s="82" t="e">
        <f>ROUNDDOWN(H17/I17,0)</f>
        <v>#DIV/0!</v>
      </c>
      <c r="K17" s="86" t="s">
        <v>1</v>
      </c>
      <c r="L17" s="86" t="s">
        <v>1</v>
      </c>
      <c r="M17" s="86" t="s">
        <v>1</v>
      </c>
      <c r="N17" s="86" t="s">
        <v>1</v>
      </c>
      <c r="O17" s="82">
        <f>((F17-0.025)*2)+((G17-0.025)*2)+(10*0.008*2)</f>
        <v>0.06</v>
      </c>
      <c r="P17" s="86" t="s">
        <v>1</v>
      </c>
      <c r="Q17" s="55"/>
      <c r="R17" s="85">
        <f>12/O17</f>
        <v>200</v>
      </c>
      <c r="S17" s="82">
        <f t="shared" ref="S17:S20" si="5">ROUNDDOWN(R17,0)</f>
        <v>200</v>
      </c>
      <c r="T17" s="82">
        <f>12-(S17*O17)</f>
        <v>0</v>
      </c>
      <c r="U17" s="85">
        <f t="shared" si="1"/>
        <v>0</v>
      </c>
      <c r="V17" s="80" t="e">
        <f>((O17*J17*Q17)/(21*12))*(1+U17)</f>
        <v>#DIV/0!</v>
      </c>
      <c r="W17" s="80" t="e">
        <f>V17/10</f>
        <v>#DIV/0!</v>
      </c>
    </row>
    <row r="18" spans="3:23" ht="20.25" thickBot="1" x14ac:dyDescent="0.3">
      <c r="C18" s="81" t="s">
        <v>325</v>
      </c>
      <c r="D18" s="87" t="s">
        <v>77</v>
      </c>
      <c r="E18" s="55"/>
      <c r="F18" s="55"/>
      <c r="G18" s="55"/>
      <c r="H18" s="59"/>
      <c r="I18" s="86" t="s">
        <v>1</v>
      </c>
      <c r="J18" s="86" t="s">
        <v>1</v>
      </c>
      <c r="K18" s="59"/>
      <c r="L18" s="59"/>
      <c r="M18" s="82">
        <f>(F18-0.025)+(5*0.008*2)</f>
        <v>5.5E-2</v>
      </c>
      <c r="N18" s="82">
        <f>(G18-0.025)+(5*0.008*2)</f>
        <v>5.5E-2</v>
      </c>
      <c r="O18" s="86" t="s">
        <v>1</v>
      </c>
      <c r="P18" s="86" t="s">
        <v>1</v>
      </c>
      <c r="Q18" s="55"/>
      <c r="R18" s="85">
        <f>(12/(M18+N18))</f>
        <v>109.09090909090909</v>
      </c>
      <c r="S18" s="82">
        <f t="shared" si="5"/>
        <v>109</v>
      </c>
      <c r="T18" s="82">
        <f>12-(S18*(M18+N18))</f>
        <v>9.9999999999997868E-3</v>
      </c>
      <c r="U18" s="85">
        <f t="shared" si="1"/>
        <v>8.3333333333331561E-4</v>
      </c>
      <c r="V18" s="80">
        <f>((((M18*K18)+(L18*N18))*Q18)/(21*12))*(1+U18)</f>
        <v>0</v>
      </c>
      <c r="W18" s="80">
        <f>V18/10</f>
        <v>0</v>
      </c>
    </row>
    <row r="19" spans="3:23" ht="20.25" thickBot="1" x14ac:dyDescent="0.3">
      <c r="C19" s="81" t="s">
        <v>324</v>
      </c>
      <c r="D19" s="87" t="s">
        <v>35</v>
      </c>
      <c r="E19" s="55"/>
      <c r="F19" s="55"/>
      <c r="G19" s="55"/>
      <c r="H19" s="59"/>
      <c r="I19" s="59"/>
      <c r="J19" s="82" t="e">
        <f t="shared" ref="J19" si="6">ROUNDDOWN(H19/I19,0)</f>
        <v>#DIV/0!</v>
      </c>
      <c r="K19" s="86" t="s">
        <v>1</v>
      </c>
      <c r="L19" s="86" t="s">
        <v>1</v>
      </c>
      <c r="M19" s="86" t="s">
        <v>1</v>
      </c>
      <c r="N19" s="86" t="s">
        <v>1</v>
      </c>
      <c r="O19" s="82">
        <f>((F19-0.025)*2)+((G19-0.025)*2)+(10*0.006*2)</f>
        <v>1.999999999999999E-2</v>
      </c>
      <c r="P19" s="86" t="s">
        <v>1</v>
      </c>
      <c r="Q19" s="55"/>
      <c r="R19" s="85">
        <f t="shared" ref="R19" si="7">11/O19</f>
        <v>550.00000000000023</v>
      </c>
      <c r="S19" s="82">
        <f t="shared" si="5"/>
        <v>550</v>
      </c>
      <c r="T19" s="82">
        <f>11-(S19*O19)</f>
        <v>0</v>
      </c>
      <c r="U19" s="85">
        <f>(T19/11)</f>
        <v>0</v>
      </c>
      <c r="V19" s="80" t="e">
        <f>((J19*O19*Q19)/(36*11))*(1+U19)</f>
        <v>#DIV/0!</v>
      </c>
      <c r="W19" s="80" t="e">
        <f>V19/10</f>
        <v>#DIV/0!</v>
      </c>
    </row>
    <row r="20" spans="3:23" ht="20.25" thickBot="1" x14ac:dyDescent="0.3">
      <c r="C20" s="81" t="s">
        <v>325</v>
      </c>
      <c r="D20" s="87" t="s">
        <v>35</v>
      </c>
      <c r="E20" s="55"/>
      <c r="F20" s="55"/>
      <c r="G20" s="55"/>
      <c r="H20" s="59"/>
      <c r="I20" s="86" t="s">
        <v>1</v>
      </c>
      <c r="J20" s="86" t="s">
        <v>1</v>
      </c>
      <c r="K20" s="59"/>
      <c r="L20" s="59"/>
      <c r="M20" s="82">
        <f>(F20-0.025)+(5*0.006*2)</f>
        <v>3.4999999999999996E-2</v>
      </c>
      <c r="N20" s="82">
        <f>(G20-0.025)+(5*0.006*2)</f>
        <v>3.4999999999999996E-2</v>
      </c>
      <c r="O20" s="86" t="s">
        <v>1</v>
      </c>
      <c r="P20" s="86" t="s">
        <v>1</v>
      </c>
      <c r="Q20" s="55"/>
      <c r="R20" s="85">
        <f>11/(M20+N20)</f>
        <v>157.14285714285717</v>
      </c>
      <c r="S20" s="82">
        <f t="shared" si="5"/>
        <v>157</v>
      </c>
      <c r="T20" s="82">
        <f>11-(S20*(M20+N20))</f>
        <v>1.0000000000001563E-2</v>
      </c>
      <c r="U20" s="85">
        <f>(T20/11)</f>
        <v>9.0909090909105123E-4</v>
      </c>
      <c r="V20" s="80">
        <f>((((M20*K20)+(L20*N20))*Q20)/(36*11))*(1+U20)</f>
        <v>0</v>
      </c>
      <c r="W20" s="80">
        <f>V20/10</f>
        <v>0</v>
      </c>
    </row>
    <row r="22" spans="3:23" ht="15.75" thickBot="1" x14ac:dyDescent="0.3"/>
    <row r="23" spans="3:23" ht="30.75" thickBot="1" x14ac:dyDescent="0.3">
      <c r="U23" s="77" t="s">
        <v>223</v>
      </c>
      <c r="V23" s="73" t="e">
        <f>SUM(V11:V20)</f>
        <v>#DIV/0!</v>
      </c>
      <c r="W23" s="73" t="e">
        <f>SUM(W11:W20)</f>
        <v>#DIV/0!</v>
      </c>
    </row>
    <row r="27" spans="3:23" ht="18.75" x14ac:dyDescent="0.3">
      <c r="D27" s="149" t="s">
        <v>395</v>
      </c>
      <c r="E27" s="149"/>
      <c r="F27" s="149"/>
      <c r="G27" s="149"/>
      <c r="H27" s="150"/>
      <c r="I27" s="149"/>
      <c r="J27" s="149"/>
    </row>
    <row r="28" spans="3:23" ht="15.75" thickBot="1" x14ac:dyDescent="0.3"/>
    <row r="29" spans="3:23" ht="20.25" thickBot="1" x14ac:dyDescent="0.3">
      <c r="J29" s="79"/>
    </row>
  </sheetData>
  <sheetProtection algorithmName="SHA-512" hashValue="sn9DhxrlKHt7BAZ+ate3oejvQgjObrvchsc3kR+FMq4sl+m2YXr+yLQrTolwvmKB3E+UiWvp58EP7by2kzvTiQ==" saltValue="wToRu7g+XEM3OENjeNYkQA==" spinCount="100000" sheet="1" objects="1" scenarios="1"/>
  <mergeCells count="1">
    <mergeCell ref="C9:C10"/>
  </mergeCells>
  <pageMargins left="0.7" right="0.7" top="0.75" bottom="0.75" header="0.3" footer="0.3"/>
  <pageSetup paperSize="9" orientation="portrait" r:id="rId1"/>
  <ignoredErrors>
    <ignoredError sqref="T18" formula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29"/>
  <sheetViews>
    <sheetView topLeftCell="C1" zoomScale="70" zoomScaleNormal="70" workbookViewId="0">
      <selection activeCell="T25" sqref="T25"/>
    </sheetView>
  </sheetViews>
  <sheetFormatPr baseColWidth="10" defaultColWidth="10.7109375" defaultRowHeight="15" x14ac:dyDescent="0.25"/>
  <cols>
    <col min="3" max="3" width="29" customWidth="1"/>
    <col min="4" max="4" width="10.7109375" customWidth="1"/>
    <col min="5" max="5" width="13.7109375" customWidth="1"/>
    <col min="6" max="6" width="13.42578125" customWidth="1"/>
    <col min="7" max="7" width="13" customWidth="1"/>
    <col min="8" max="8" width="15.140625" customWidth="1"/>
    <col min="9" max="9" width="14.140625" customWidth="1"/>
    <col min="10" max="10" width="12.28515625" customWidth="1"/>
    <col min="11" max="11" width="12" customWidth="1"/>
    <col min="12" max="12" width="12.42578125" customWidth="1"/>
    <col min="13" max="14" width="12.28515625" customWidth="1"/>
    <col min="15" max="15" width="12" customWidth="1"/>
    <col min="16" max="16" width="12.28515625" customWidth="1"/>
    <col min="17" max="17" width="13.85546875" customWidth="1"/>
    <col min="18" max="18" width="15.42578125" customWidth="1"/>
    <col min="19" max="19" width="15" customWidth="1"/>
    <col min="20" max="20" width="14.42578125" customWidth="1"/>
    <col min="21" max="21" width="14.85546875" customWidth="1"/>
    <col min="22" max="22" width="12.28515625" customWidth="1"/>
    <col min="23" max="23" width="14.140625" customWidth="1"/>
  </cols>
  <sheetData>
    <row r="3" spans="3:23" ht="18.75" x14ac:dyDescent="0.3">
      <c r="D3" s="133" t="s">
        <v>412</v>
      </c>
      <c r="E3" s="133"/>
      <c r="F3" s="141"/>
      <c r="G3" s="141"/>
    </row>
    <row r="5" spans="3:23" ht="21" x14ac:dyDescent="0.35">
      <c r="D5" s="162" t="s">
        <v>409</v>
      </c>
      <c r="E5" s="162"/>
      <c r="F5" s="162"/>
      <c r="G5" s="162"/>
      <c r="H5" s="162"/>
      <c r="I5" s="162"/>
      <c r="J5" s="162"/>
      <c r="P5">
        <f>5*4*15</f>
        <v>300</v>
      </c>
    </row>
    <row r="7" spans="3:23" ht="19.5" x14ac:dyDescent="0.3">
      <c r="D7" s="102" t="s">
        <v>45</v>
      </c>
      <c r="E7" s="103"/>
    </row>
    <row r="8" spans="3:23" ht="21.75" thickBot="1" x14ac:dyDescent="0.4">
      <c r="C8" s="19" t="s">
        <v>51</v>
      </c>
      <c r="E8" s="1"/>
      <c r="F8" s="21" t="s">
        <v>46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3:23" ht="19.5" x14ac:dyDescent="0.25">
      <c r="C9" s="191" t="s">
        <v>0</v>
      </c>
      <c r="D9" s="153" t="s">
        <v>33</v>
      </c>
      <c r="E9" s="9" t="s">
        <v>2</v>
      </c>
      <c r="F9" s="12" t="s">
        <v>4</v>
      </c>
      <c r="G9" s="12" t="s">
        <v>19</v>
      </c>
      <c r="H9" s="12" t="s">
        <v>43</v>
      </c>
      <c r="I9" s="12" t="s">
        <v>29</v>
      </c>
      <c r="J9" s="12" t="s">
        <v>5</v>
      </c>
      <c r="K9" s="12" t="s">
        <v>14</v>
      </c>
      <c r="L9" s="12" t="s">
        <v>14</v>
      </c>
      <c r="M9" s="12" t="s">
        <v>2</v>
      </c>
      <c r="N9" s="12" t="s">
        <v>2</v>
      </c>
      <c r="O9" s="12" t="s">
        <v>2</v>
      </c>
      <c r="P9" s="12" t="s">
        <v>14</v>
      </c>
      <c r="Q9" s="12" t="s">
        <v>14</v>
      </c>
      <c r="R9" s="12" t="s">
        <v>314</v>
      </c>
      <c r="S9" s="12" t="s">
        <v>316</v>
      </c>
      <c r="T9" s="12" t="s">
        <v>318</v>
      </c>
      <c r="U9" s="12" t="s">
        <v>320</v>
      </c>
      <c r="V9" s="14" t="s">
        <v>5</v>
      </c>
      <c r="W9" s="14" t="s">
        <v>5</v>
      </c>
    </row>
    <row r="10" spans="3:23" ht="20.25" thickBot="1" x14ac:dyDescent="0.3">
      <c r="C10" s="192"/>
      <c r="D10" s="154" t="s">
        <v>34</v>
      </c>
      <c r="E10" s="10" t="s">
        <v>411</v>
      </c>
      <c r="F10" s="10" t="s">
        <v>411</v>
      </c>
      <c r="G10" s="10" t="s">
        <v>411</v>
      </c>
      <c r="H10" s="13" t="s">
        <v>44</v>
      </c>
      <c r="I10" s="13" t="s">
        <v>42</v>
      </c>
      <c r="J10" s="13" t="s">
        <v>40</v>
      </c>
      <c r="K10" s="13" t="s">
        <v>327</v>
      </c>
      <c r="L10" s="13" t="s">
        <v>328</v>
      </c>
      <c r="M10" s="13" t="s">
        <v>327</v>
      </c>
      <c r="N10" s="13" t="s">
        <v>328</v>
      </c>
      <c r="O10" s="13" t="s">
        <v>40</v>
      </c>
      <c r="P10" s="13" t="s">
        <v>39</v>
      </c>
      <c r="Q10" s="10" t="s">
        <v>411</v>
      </c>
      <c r="R10" s="13" t="s">
        <v>315</v>
      </c>
      <c r="S10" s="13" t="s">
        <v>317</v>
      </c>
      <c r="T10" s="13" t="s">
        <v>319</v>
      </c>
      <c r="U10" s="13" t="s">
        <v>321</v>
      </c>
      <c r="V10" s="15" t="s">
        <v>31</v>
      </c>
      <c r="W10" s="15" t="s">
        <v>53</v>
      </c>
    </row>
    <row r="11" spans="3:23" ht="20.25" thickBot="1" x14ac:dyDescent="0.3">
      <c r="C11" s="78" t="s">
        <v>37</v>
      </c>
      <c r="D11" s="93" t="s">
        <v>76</v>
      </c>
      <c r="E11" s="55"/>
      <c r="F11" s="55"/>
      <c r="G11" s="55"/>
      <c r="H11" s="86" t="s">
        <v>1</v>
      </c>
      <c r="I11" s="86" t="s">
        <v>1</v>
      </c>
      <c r="J11" s="86" t="s">
        <v>1</v>
      </c>
      <c r="K11" s="86" t="s">
        <v>1</v>
      </c>
      <c r="L11" s="86" t="s">
        <v>1</v>
      </c>
      <c r="M11" s="88" t="s">
        <v>1</v>
      </c>
      <c r="N11" s="86" t="s">
        <v>1</v>
      </c>
      <c r="O11" s="88" t="s">
        <v>1</v>
      </c>
      <c r="P11" s="55"/>
      <c r="Q11" s="55"/>
      <c r="R11" s="70" t="e">
        <f>12/E11</f>
        <v>#DIV/0!</v>
      </c>
      <c r="S11" s="69" t="e">
        <f>ROUNDDOWN(R11,0)</f>
        <v>#DIV/0!</v>
      </c>
      <c r="T11" s="69" t="e">
        <f t="shared" ref="T11:T16" si="0">12-(S11*E11)</f>
        <v>#DIV/0!</v>
      </c>
      <c r="U11" s="70" t="e">
        <f t="shared" ref="U11:U18" si="1">(T11/12)</f>
        <v>#DIV/0!</v>
      </c>
      <c r="V11" s="29" t="e">
        <f>((E11*P11*Q11)/(14*12))*(1+U11)</f>
        <v>#DIV/0!</v>
      </c>
      <c r="W11" s="29" t="e">
        <f>V11/10</f>
        <v>#DIV/0!</v>
      </c>
    </row>
    <row r="12" spans="3:23" ht="20.25" thickBot="1" x14ac:dyDescent="0.3">
      <c r="C12" s="78" t="s">
        <v>37</v>
      </c>
      <c r="D12" s="93" t="s">
        <v>38</v>
      </c>
      <c r="E12" s="55"/>
      <c r="F12" s="55"/>
      <c r="G12" s="55"/>
      <c r="H12" s="86" t="s">
        <v>1</v>
      </c>
      <c r="I12" s="86" t="s">
        <v>1</v>
      </c>
      <c r="J12" s="86" t="s">
        <v>1</v>
      </c>
      <c r="K12" s="86" t="s">
        <v>1</v>
      </c>
      <c r="L12" s="86" t="s">
        <v>1</v>
      </c>
      <c r="M12" s="86" t="s">
        <v>1</v>
      </c>
      <c r="N12" s="86" t="s">
        <v>1</v>
      </c>
      <c r="O12" s="86" t="s">
        <v>1</v>
      </c>
      <c r="P12" s="55"/>
      <c r="Q12" s="55"/>
      <c r="R12" s="70" t="e">
        <f t="shared" ref="R12:R16" si="2">12/E12</f>
        <v>#DIV/0!</v>
      </c>
      <c r="S12" s="69" t="e">
        <f t="shared" ref="S12:S20" si="3">ROUNDDOWN(R12,0)</f>
        <v>#DIV/0!</v>
      </c>
      <c r="T12" s="69" t="e">
        <f t="shared" si="0"/>
        <v>#DIV/0!</v>
      </c>
      <c r="U12" s="70" t="e">
        <f t="shared" si="1"/>
        <v>#DIV/0!</v>
      </c>
      <c r="V12" s="29" t="e">
        <f>((E12*P12*Q12)/(9*12))*(1+U12)</f>
        <v>#DIV/0!</v>
      </c>
      <c r="W12" s="29" t="e">
        <f>V12/10</f>
        <v>#DIV/0!</v>
      </c>
    </row>
    <row r="13" spans="3:23" ht="20.25" thickBot="1" x14ac:dyDescent="0.3">
      <c r="C13" s="78" t="s">
        <v>37</v>
      </c>
      <c r="D13" s="93" t="s">
        <v>41</v>
      </c>
      <c r="E13" s="55"/>
      <c r="F13" s="55"/>
      <c r="G13" s="55"/>
      <c r="H13" s="86" t="s">
        <v>1</v>
      </c>
      <c r="I13" s="86" t="s">
        <v>1</v>
      </c>
      <c r="J13" s="86" t="s">
        <v>1</v>
      </c>
      <c r="K13" s="86" t="s">
        <v>1</v>
      </c>
      <c r="L13" s="86" t="s">
        <v>1</v>
      </c>
      <c r="M13" s="86" t="s">
        <v>1</v>
      </c>
      <c r="N13" s="86" t="s">
        <v>1</v>
      </c>
      <c r="O13" s="86" t="s">
        <v>1</v>
      </c>
      <c r="P13" s="55"/>
      <c r="Q13" s="55"/>
      <c r="R13" s="70" t="e">
        <f t="shared" si="2"/>
        <v>#DIV/0!</v>
      </c>
      <c r="S13" s="69" t="e">
        <f t="shared" si="3"/>
        <v>#DIV/0!</v>
      </c>
      <c r="T13" s="69" t="e">
        <f t="shared" si="0"/>
        <v>#DIV/0!</v>
      </c>
      <c r="U13" s="70" t="e">
        <f t="shared" si="1"/>
        <v>#DIV/0!</v>
      </c>
      <c r="V13" s="29" t="e">
        <f>((E13*P13*Q13)/(7*12))*(1+U13)</f>
        <v>#DIV/0!</v>
      </c>
      <c r="W13" s="29" t="e">
        <f t="shared" ref="W13:W16" si="4">V13/10</f>
        <v>#DIV/0!</v>
      </c>
    </row>
    <row r="14" spans="3:23" ht="20.25" thickBot="1" x14ac:dyDescent="0.3">
      <c r="C14" s="78" t="s">
        <v>37</v>
      </c>
      <c r="D14" s="93" t="s">
        <v>75</v>
      </c>
      <c r="E14" s="55"/>
      <c r="F14" s="55"/>
      <c r="G14" s="55"/>
      <c r="H14" s="86" t="s">
        <v>1</v>
      </c>
      <c r="I14" s="86" t="s">
        <v>1</v>
      </c>
      <c r="J14" s="86" t="s">
        <v>1</v>
      </c>
      <c r="K14" s="89" t="s">
        <v>1</v>
      </c>
      <c r="L14" s="89" t="s">
        <v>1</v>
      </c>
      <c r="M14" s="89" t="s">
        <v>1</v>
      </c>
      <c r="N14" s="89" t="s">
        <v>1</v>
      </c>
      <c r="O14" s="89" t="s">
        <v>1</v>
      </c>
      <c r="P14" s="55"/>
      <c r="Q14" s="55"/>
      <c r="R14" s="70" t="e">
        <f t="shared" si="2"/>
        <v>#DIV/0!</v>
      </c>
      <c r="S14" s="69" t="e">
        <f t="shared" si="3"/>
        <v>#DIV/0!</v>
      </c>
      <c r="T14" s="69" t="e">
        <f t="shared" si="0"/>
        <v>#DIV/0!</v>
      </c>
      <c r="U14" s="70" t="e">
        <f t="shared" si="1"/>
        <v>#DIV/0!</v>
      </c>
      <c r="V14" s="29" t="e">
        <f>((E14*P14*Q14)/(5*12))*(1+U14)</f>
        <v>#DIV/0!</v>
      </c>
      <c r="W14" s="29" t="e">
        <f t="shared" si="4"/>
        <v>#DIV/0!</v>
      </c>
    </row>
    <row r="15" spans="3:23" ht="20.25" thickBot="1" x14ac:dyDescent="0.3">
      <c r="C15" s="78" t="s">
        <v>37</v>
      </c>
      <c r="D15" s="93" t="s">
        <v>322</v>
      </c>
      <c r="E15" s="55"/>
      <c r="F15" s="55"/>
      <c r="G15" s="55"/>
      <c r="H15" s="86" t="s">
        <v>1</v>
      </c>
      <c r="I15" s="86" t="s">
        <v>1</v>
      </c>
      <c r="J15" s="86" t="s">
        <v>1</v>
      </c>
      <c r="K15" s="86" t="s">
        <v>1</v>
      </c>
      <c r="L15" s="86" t="s">
        <v>1</v>
      </c>
      <c r="M15" s="86" t="s">
        <v>1</v>
      </c>
      <c r="N15" s="86" t="s">
        <v>1</v>
      </c>
      <c r="O15" s="86" t="s">
        <v>1</v>
      </c>
      <c r="P15" s="55"/>
      <c r="Q15" s="55"/>
      <c r="R15" s="70" t="e">
        <f t="shared" si="2"/>
        <v>#DIV/0!</v>
      </c>
      <c r="S15" s="69" t="e">
        <f t="shared" si="3"/>
        <v>#DIV/0!</v>
      </c>
      <c r="T15" s="69" t="e">
        <f t="shared" si="0"/>
        <v>#DIV/0!</v>
      </c>
      <c r="U15" s="70" t="e">
        <f t="shared" si="1"/>
        <v>#DIV/0!</v>
      </c>
      <c r="V15" s="29" t="e">
        <f>((E15*P15*Q15)/(3*12))*(1+U15)</f>
        <v>#DIV/0!</v>
      </c>
      <c r="W15" s="29" t="e">
        <f t="shared" si="4"/>
        <v>#DIV/0!</v>
      </c>
    </row>
    <row r="16" spans="3:23" ht="20.25" thickBot="1" x14ac:dyDescent="0.3">
      <c r="C16" s="81" t="s">
        <v>37</v>
      </c>
      <c r="D16" s="113" t="s">
        <v>323</v>
      </c>
      <c r="E16" s="55"/>
      <c r="F16" s="55"/>
      <c r="G16" s="55"/>
      <c r="H16" s="86" t="s">
        <v>1</v>
      </c>
      <c r="I16" s="86" t="s">
        <v>1</v>
      </c>
      <c r="J16" s="86" t="s">
        <v>1</v>
      </c>
      <c r="K16" s="86" t="s">
        <v>1</v>
      </c>
      <c r="L16" s="86" t="s">
        <v>1</v>
      </c>
      <c r="M16" s="86" t="s">
        <v>1</v>
      </c>
      <c r="N16" s="86" t="s">
        <v>1</v>
      </c>
      <c r="O16" s="86" t="s">
        <v>1</v>
      </c>
      <c r="P16" s="55"/>
      <c r="Q16" s="55"/>
      <c r="R16" s="70" t="e">
        <f t="shared" si="2"/>
        <v>#DIV/0!</v>
      </c>
      <c r="S16" s="69" t="e">
        <f t="shared" si="3"/>
        <v>#DIV/0!</v>
      </c>
      <c r="T16" s="69" t="e">
        <f t="shared" si="0"/>
        <v>#DIV/0!</v>
      </c>
      <c r="U16" s="70" t="e">
        <f t="shared" si="1"/>
        <v>#DIV/0!</v>
      </c>
      <c r="V16" s="29" t="e">
        <f>((E16*P16*Q16)/(2*12))*(1+U16)</f>
        <v>#DIV/0!</v>
      </c>
      <c r="W16" s="29" t="e">
        <f t="shared" si="4"/>
        <v>#DIV/0!</v>
      </c>
    </row>
    <row r="17" spans="3:23" ht="20.25" thickBot="1" x14ac:dyDescent="0.3">
      <c r="C17" s="81" t="s">
        <v>324</v>
      </c>
      <c r="D17" s="87" t="s">
        <v>77</v>
      </c>
      <c r="E17" s="55"/>
      <c r="F17" s="55"/>
      <c r="G17" s="55"/>
      <c r="H17" s="59"/>
      <c r="I17" s="59"/>
      <c r="J17" s="82" t="e">
        <f>ROUNDDOWN(H17/I17,0)</f>
        <v>#DIV/0!</v>
      </c>
      <c r="K17" s="86" t="s">
        <v>1</v>
      </c>
      <c r="L17" s="86" t="s">
        <v>1</v>
      </c>
      <c r="M17" s="86" t="s">
        <v>1</v>
      </c>
      <c r="N17" s="86" t="s">
        <v>1</v>
      </c>
      <c r="O17" s="82">
        <f>((F17-0.025)*2)+((G17-0.025)*2)+(10*0.008*2)</f>
        <v>0.06</v>
      </c>
      <c r="P17" s="86" t="s">
        <v>1</v>
      </c>
      <c r="Q17" s="55"/>
      <c r="R17" s="85">
        <f>12/O17</f>
        <v>200</v>
      </c>
      <c r="S17" s="82">
        <f t="shared" si="3"/>
        <v>200</v>
      </c>
      <c r="T17" s="82">
        <f>12-(S17*O17)</f>
        <v>0</v>
      </c>
      <c r="U17" s="85">
        <f t="shared" si="1"/>
        <v>0</v>
      </c>
      <c r="V17" s="80" t="e">
        <f>((O17*J17*Q17)/(21*12))*(1+U17)</f>
        <v>#DIV/0!</v>
      </c>
      <c r="W17" s="80" t="e">
        <f>V17/10</f>
        <v>#DIV/0!</v>
      </c>
    </row>
    <row r="18" spans="3:23" ht="20.25" thickBot="1" x14ac:dyDescent="0.3">
      <c r="C18" s="81" t="s">
        <v>325</v>
      </c>
      <c r="D18" s="87" t="s">
        <v>77</v>
      </c>
      <c r="E18" s="55"/>
      <c r="F18" s="55"/>
      <c r="G18" s="55"/>
      <c r="H18" s="59"/>
      <c r="I18" s="86" t="s">
        <v>1</v>
      </c>
      <c r="J18" s="86" t="s">
        <v>1</v>
      </c>
      <c r="K18" s="59"/>
      <c r="L18" s="59"/>
      <c r="M18" s="82">
        <f>(F18-0.025)+(5*0.008*2)</f>
        <v>5.5E-2</v>
      </c>
      <c r="N18" s="82">
        <f>(G18-0.025)+(5*0.008*2)</f>
        <v>5.5E-2</v>
      </c>
      <c r="O18" s="86" t="s">
        <v>1</v>
      </c>
      <c r="P18" s="86" t="s">
        <v>1</v>
      </c>
      <c r="Q18" s="55"/>
      <c r="R18" s="85">
        <f>(12/(M18+N18))</f>
        <v>109.09090909090909</v>
      </c>
      <c r="S18" s="82">
        <f t="shared" si="3"/>
        <v>109</v>
      </c>
      <c r="T18" s="82">
        <f>12-(S18*(M18+N18))</f>
        <v>9.9999999999997868E-3</v>
      </c>
      <c r="U18" s="85">
        <f t="shared" si="1"/>
        <v>8.3333333333331561E-4</v>
      </c>
      <c r="V18" s="80">
        <f>((((M18*K18)+(L18*N18))*Q18)/(21*12))*(1+U18)</f>
        <v>0</v>
      </c>
      <c r="W18" s="80">
        <f>V18/10</f>
        <v>0</v>
      </c>
    </row>
    <row r="19" spans="3:23" ht="20.25" thickBot="1" x14ac:dyDescent="0.3">
      <c r="C19" s="81" t="s">
        <v>324</v>
      </c>
      <c r="D19" s="87" t="s">
        <v>35</v>
      </c>
      <c r="E19" s="55"/>
      <c r="F19" s="55"/>
      <c r="G19" s="55"/>
      <c r="H19" s="59"/>
      <c r="I19" s="59"/>
      <c r="J19" s="82" t="e">
        <f t="shared" ref="J19" si="5">ROUNDDOWN(H19/I19,0)</f>
        <v>#DIV/0!</v>
      </c>
      <c r="K19" s="86" t="s">
        <v>1</v>
      </c>
      <c r="L19" s="86" t="s">
        <v>1</v>
      </c>
      <c r="M19" s="86" t="s">
        <v>1</v>
      </c>
      <c r="N19" s="86" t="s">
        <v>1</v>
      </c>
      <c r="O19" s="82">
        <f>((F19-0.025)*2)+((G19-0.025)*2)+(10*0.006*2)</f>
        <v>1.999999999999999E-2</v>
      </c>
      <c r="P19" s="86" t="s">
        <v>1</v>
      </c>
      <c r="Q19" s="55"/>
      <c r="R19" s="85">
        <f t="shared" ref="R19" si="6">11/O19</f>
        <v>550.00000000000023</v>
      </c>
      <c r="S19" s="82">
        <f t="shared" si="3"/>
        <v>550</v>
      </c>
      <c r="T19" s="82">
        <f>11-(S19*O19)</f>
        <v>0</v>
      </c>
      <c r="U19" s="85">
        <f>(T19/11)</f>
        <v>0</v>
      </c>
      <c r="V19" s="80" t="e">
        <f>((J19*O19*Q19)/(36*11))*(1+U19)</f>
        <v>#DIV/0!</v>
      </c>
      <c r="W19" s="80" t="e">
        <f>V19/10</f>
        <v>#DIV/0!</v>
      </c>
    </row>
    <row r="20" spans="3:23" ht="20.25" thickBot="1" x14ac:dyDescent="0.3">
      <c r="C20" s="81" t="s">
        <v>325</v>
      </c>
      <c r="D20" s="87" t="s">
        <v>35</v>
      </c>
      <c r="E20" s="55"/>
      <c r="F20" s="55"/>
      <c r="G20" s="55"/>
      <c r="H20" s="59"/>
      <c r="I20" s="86" t="s">
        <v>1</v>
      </c>
      <c r="J20" s="86" t="s">
        <v>1</v>
      </c>
      <c r="K20" s="59"/>
      <c r="L20" s="59"/>
      <c r="M20" s="82">
        <f>(F20-0.025)+(5*0.006*2)</f>
        <v>3.4999999999999996E-2</v>
      </c>
      <c r="N20" s="82">
        <f>(G20-0.025)+(5*0.006*2)</f>
        <v>3.4999999999999996E-2</v>
      </c>
      <c r="O20" s="86" t="s">
        <v>1</v>
      </c>
      <c r="P20" s="86" t="s">
        <v>1</v>
      </c>
      <c r="Q20" s="55"/>
      <c r="R20" s="85">
        <f>11/(M20+N20)</f>
        <v>157.14285714285717</v>
      </c>
      <c r="S20" s="82">
        <f t="shared" si="3"/>
        <v>157</v>
      </c>
      <c r="T20" s="82">
        <f>11-(S20*(M20+N20))</f>
        <v>1.0000000000001563E-2</v>
      </c>
      <c r="U20" s="85">
        <f>(T20/11)</f>
        <v>9.0909090909105123E-4</v>
      </c>
      <c r="V20" s="80">
        <f>((((M20*K20)+(L20*N20))*Q20)/(36*11))*(1+U20)</f>
        <v>0</v>
      </c>
      <c r="W20" s="80">
        <f>V20/10</f>
        <v>0</v>
      </c>
    </row>
    <row r="22" spans="3:23" ht="15.75" thickBot="1" x14ac:dyDescent="0.3"/>
    <row r="23" spans="3:23" ht="30.75" thickBot="1" x14ac:dyDescent="0.3">
      <c r="U23" s="77" t="s">
        <v>223</v>
      </c>
      <c r="V23" s="73" t="e">
        <f>SUM(V11:V20)</f>
        <v>#DIV/0!</v>
      </c>
      <c r="W23" s="73" t="e">
        <f>SUM(W11:W20)</f>
        <v>#DIV/0!</v>
      </c>
    </row>
    <row r="27" spans="3:23" ht="18.75" x14ac:dyDescent="0.3">
      <c r="D27" s="149" t="s">
        <v>395</v>
      </c>
      <c r="E27" s="149"/>
      <c r="F27" s="149"/>
      <c r="G27" s="149"/>
      <c r="H27" s="150"/>
      <c r="I27" s="149"/>
      <c r="J27" s="149"/>
    </row>
    <row r="28" spans="3:23" ht="15.75" thickBot="1" x14ac:dyDescent="0.3"/>
    <row r="29" spans="3:23" ht="20.25" thickBot="1" x14ac:dyDescent="0.3">
      <c r="J29" s="79"/>
    </row>
  </sheetData>
  <sheetProtection algorithmName="SHA-512" hashValue="E167u3JdwNOjatsI2U8IXyT7l4zsVk8OGvTH4R7H6qsG3RrpYJl9nsY8Vd6lVtPIDsjmQUhXE4Qm1KBWYchKMw==" saltValue="kmeM6/6VYGwQwlFfdPeZDg==" spinCount="100000" sheet="1" objects="1" scenarios="1"/>
  <mergeCells count="1">
    <mergeCell ref="C9:C10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4"/>
  <sheetViews>
    <sheetView topLeftCell="B7" zoomScale="70" zoomScaleNormal="70" workbookViewId="0">
      <selection activeCell="L25" sqref="L25:O30"/>
    </sheetView>
  </sheetViews>
  <sheetFormatPr baseColWidth="10" defaultColWidth="10.7109375" defaultRowHeight="15" x14ac:dyDescent="0.25"/>
  <cols>
    <col min="3" max="3" width="37.28515625" customWidth="1"/>
    <col min="4" max="4" width="17.42578125" customWidth="1"/>
    <col min="5" max="5" width="17.28515625" customWidth="1"/>
    <col min="6" max="6" width="14.85546875" customWidth="1"/>
    <col min="7" max="7" width="13.85546875" customWidth="1"/>
    <col min="8" max="8" width="13.42578125" customWidth="1"/>
    <col min="9" max="9" width="13.7109375" customWidth="1"/>
    <col min="10" max="10" width="17.42578125" customWidth="1"/>
    <col min="11" max="15" width="15.5703125" customWidth="1"/>
    <col min="16" max="16" width="22" customWidth="1"/>
    <col min="17" max="17" width="16" customWidth="1"/>
    <col min="18" max="18" width="17" customWidth="1"/>
  </cols>
  <sheetData>
    <row r="3" spans="3:18" ht="21" x14ac:dyDescent="0.35">
      <c r="D3" s="147" t="s">
        <v>415</v>
      </c>
      <c r="E3" s="27"/>
      <c r="F3" s="133"/>
      <c r="G3" s="27"/>
    </row>
    <row r="5" spans="3:18" ht="21" x14ac:dyDescent="0.35">
      <c r="D5" s="162" t="s">
        <v>410</v>
      </c>
      <c r="E5" s="162"/>
      <c r="F5" s="162"/>
      <c r="G5" s="162"/>
      <c r="H5" s="162"/>
    </row>
    <row r="7" spans="3:18" ht="19.5" x14ac:dyDescent="0.25">
      <c r="D7" s="20" t="s">
        <v>45</v>
      </c>
      <c r="E7" s="103"/>
    </row>
    <row r="8" spans="3:18" ht="21.75" thickBot="1" x14ac:dyDescent="0.4">
      <c r="C8" s="19" t="s">
        <v>356</v>
      </c>
      <c r="E8" s="1"/>
      <c r="F8" s="1"/>
      <c r="G8" s="1"/>
      <c r="H8" s="1"/>
      <c r="I8" s="1"/>
      <c r="J8" s="21" t="s">
        <v>46</v>
      </c>
      <c r="K8" s="1"/>
      <c r="L8" s="1"/>
      <c r="M8" s="1"/>
      <c r="N8" s="1"/>
      <c r="O8" s="1"/>
      <c r="P8" s="1"/>
      <c r="Q8" s="1"/>
      <c r="R8" s="1"/>
    </row>
    <row r="9" spans="3:18" ht="19.5" x14ac:dyDescent="0.25">
      <c r="C9" s="191" t="s">
        <v>0</v>
      </c>
      <c r="D9" s="91" t="s">
        <v>33</v>
      </c>
      <c r="E9" s="9" t="s">
        <v>2</v>
      </c>
      <c r="F9" s="9" t="s">
        <v>16</v>
      </c>
      <c r="G9" s="9" t="s">
        <v>2</v>
      </c>
      <c r="H9" s="12" t="s">
        <v>29</v>
      </c>
      <c r="I9" s="12" t="s">
        <v>5</v>
      </c>
      <c r="J9" s="12" t="s">
        <v>4</v>
      </c>
      <c r="K9" s="12" t="s">
        <v>5</v>
      </c>
      <c r="L9" s="12" t="s">
        <v>314</v>
      </c>
      <c r="M9" s="12" t="s">
        <v>316</v>
      </c>
      <c r="N9" s="12" t="s">
        <v>318</v>
      </c>
      <c r="O9" s="12" t="s">
        <v>320</v>
      </c>
      <c r="P9" s="12" t="s">
        <v>361</v>
      </c>
      <c r="Q9" s="14" t="s">
        <v>5</v>
      </c>
      <c r="R9" s="14" t="s">
        <v>5</v>
      </c>
    </row>
    <row r="10" spans="3:18" ht="20.25" thickBot="1" x14ac:dyDescent="0.3">
      <c r="C10" s="192"/>
      <c r="D10" s="92" t="s">
        <v>34</v>
      </c>
      <c r="E10" s="10" t="s">
        <v>23</v>
      </c>
      <c r="F10" s="10" t="s">
        <v>360</v>
      </c>
      <c r="G10" s="10" t="s">
        <v>354</v>
      </c>
      <c r="H10" s="13" t="s">
        <v>355</v>
      </c>
      <c r="I10" s="13" t="s">
        <v>355</v>
      </c>
      <c r="J10" s="13" t="s">
        <v>23</v>
      </c>
      <c r="K10" s="13" t="s">
        <v>30</v>
      </c>
      <c r="L10" s="13" t="s">
        <v>315</v>
      </c>
      <c r="M10" s="13" t="s">
        <v>317</v>
      </c>
      <c r="N10" s="13" t="s">
        <v>319</v>
      </c>
      <c r="O10" s="13" t="s">
        <v>321</v>
      </c>
      <c r="P10" s="13" t="s">
        <v>362</v>
      </c>
      <c r="Q10" s="15" t="s">
        <v>31</v>
      </c>
      <c r="R10" s="15" t="s">
        <v>32</v>
      </c>
    </row>
    <row r="11" spans="3:18" ht="20.25" thickBot="1" x14ac:dyDescent="0.3">
      <c r="C11" s="6" t="s">
        <v>352</v>
      </c>
      <c r="D11" s="114" t="s">
        <v>35</v>
      </c>
      <c r="E11" s="55"/>
      <c r="F11" s="55"/>
      <c r="G11" s="69">
        <f>(F11*2)+(0.015*2)+(0.12)+(5*0.006*2)</f>
        <v>0.21</v>
      </c>
      <c r="H11" s="55"/>
      <c r="I11" s="69" t="e">
        <f>E11/H11</f>
        <v>#DIV/0!</v>
      </c>
      <c r="J11" s="55"/>
      <c r="K11" s="86" t="s">
        <v>1</v>
      </c>
      <c r="L11" s="70">
        <f>11/G11</f>
        <v>52.38095238095238</v>
      </c>
      <c r="M11" s="165">
        <f>ROUNDDOWN(L11,0)</f>
        <v>52</v>
      </c>
      <c r="N11" s="70">
        <f>11-(M11*G11)</f>
        <v>8.0000000000000071E-2</v>
      </c>
      <c r="O11" s="70">
        <f>N11/11</f>
        <v>7.2727272727272788E-3</v>
      </c>
      <c r="P11" s="90"/>
      <c r="Q11" s="30" t="e">
        <f>((G11*I11*P11)/(36*11))*(1+O11)</f>
        <v>#DIV/0!</v>
      </c>
      <c r="R11" s="30" t="e">
        <f>Q11/10</f>
        <v>#DIV/0!</v>
      </c>
    </row>
    <row r="12" spans="3:18" ht="20.25" thickBot="1" x14ac:dyDescent="0.3">
      <c r="C12" s="6" t="s">
        <v>352</v>
      </c>
      <c r="D12" s="114" t="s">
        <v>77</v>
      </c>
      <c r="E12" s="55"/>
      <c r="F12" s="55"/>
      <c r="G12" s="69">
        <f>(F12*2)+(0.015*2)+(J11)+(5*0.008*2)</f>
        <v>0.11</v>
      </c>
      <c r="H12" s="55"/>
      <c r="I12" s="69" t="e">
        <f t="shared" ref="I12" si="0">E12/H12</f>
        <v>#DIV/0!</v>
      </c>
      <c r="J12" s="55"/>
      <c r="K12" s="86" t="s">
        <v>1</v>
      </c>
      <c r="L12" s="70">
        <f>12/G12</f>
        <v>109.09090909090909</v>
      </c>
      <c r="M12" s="165">
        <f>ROUNDDOWN(L12,0)</f>
        <v>109</v>
      </c>
      <c r="N12" s="70">
        <f>12-(M12*G12)</f>
        <v>9.9999999999997868E-3</v>
      </c>
      <c r="O12" s="70">
        <f>N12/12</f>
        <v>8.3333333333331561E-4</v>
      </c>
      <c r="P12" s="90"/>
      <c r="Q12" s="30" t="e">
        <f>((G12*I12*P12)/(21*12))*(1+O12)</f>
        <v>#DIV/0!</v>
      </c>
      <c r="R12" s="30" t="e">
        <f t="shared" ref="R12:R30" si="1">Q12/10</f>
        <v>#DIV/0!</v>
      </c>
    </row>
    <row r="13" spans="3:18" ht="20.25" thickBot="1" x14ac:dyDescent="0.3">
      <c r="C13" s="6" t="s">
        <v>351</v>
      </c>
      <c r="D13" s="114" t="s">
        <v>76</v>
      </c>
      <c r="E13" s="55"/>
      <c r="F13" s="55"/>
      <c r="G13" s="86" t="s">
        <v>1</v>
      </c>
      <c r="H13" s="86" t="s">
        <v>1</v>
      </c>
      <c r="I13" s="86" t="s">
        <v>1</v>
      </c>
      <c r="J13" s="86" t="s">
        <v>1</v>
      </c>
      <c r="K13" s="59"/>
      <c r="L13" s="69" t="e">
        <f>12/E13</f>
        <v>#DIV/0!</v>
      </c>
      <c r="M13" s="165" t="e">
        <f t="shared" ref="M13:M16" si="2">ROUNDDOWN(L13,0)</f>
        <v>#DIV/0!</v>
      </c>
      <c r="N13" s="70" t="e">
        <f>12-(M13*E13)</f>
        <v>#DIV/0!</v>
      </c>
      <c r="O13" s="70" t="e">
        <f>N13/12</f>
        <v>#DIV/0!</v>
      </c>
      <c r="P13" s="90"/>
      <c r="Q13" s="30" t="e">
        <f>((E13*K13*P13)/(14*12))*(1+O13)</f>
        <v>#DIV/0!</v>
      </c>
      <c r="R13" s="30" t="e">
        <f t="shared" si="1"/>
        <v>#DIV/0!</v>
      </c>
    </row>
    <row r="14" spans="3:18" ht="20.25" thickBot="1" x14ac:dyDescent="0.3">
      <c r="C14" s="6" t="s">
        <v>351</v>
      </c>
      <c r="D14" s="114" t="s">
        <v>38</v>
      </c>
      <c r="E14" s="55"/>
      <c r="F14" s="55"/>
      <c r="G14" s="86" t="s">
        <v>1</v>
      </c>
      <c r="H14" s="86" t="s">
        <v>1</v>
      </c>
      <c r="I14" s="86" t="s">
        <v>1</v>
      </c>
      <c r="J14" s="86" t="s">
        <v>1</v>
      </c>
      <c r="K14" s="59"/>
      <c r="L14" s="69" t="e">
        <f t="shared" ref="L14:L16" si="3">12/E14</f>
        <v>#DIV/0!</v>
      </c>
      <c r="M14" s="165" t="e">
        <f t="shared" si="2"/>
        <v>#DIV/0!</v>
      </c>
      <c r="N14" s="70" t="e">
        <f t="shared" ref="N14:N16" si="4">12-(M14*E14)</f>
        <v>#DIV/0!</v>
      </c>
      <c r="O14" s="70" t="e">
        <f t="shared" ref="O14:O16" si="5">N14/12</f>
        <v>#DIV/0!</v>
      </c>
      <c r="P14" s="90"/>
      <c r="Q14" s="30" t="e">
        <f>((E14*K14*P14)/(9*12))*(1+O14)</f>
        <v>#DIV/0!</v>
      </c>
      <c r="R14" s="30" t="e">
        <f t="shared" si="1"/>
        <v>#DIV/0!</v>
      </c>
    </row>
    <row r="15" spans="3:18" ht="20.25" thickBot="1" x14ac:dyDescent="0.3">
      <c r="C15" s="6" t="s">
        <v>351</v>
      </c>
      <c r="D15" s="114" t="s">
        <v>41</v>
      </c>
      <c r="E15" s="55"/>
      <c r="F15" s="55"/>
      <c r="G15" s="86" t="s">
        <v>1</v>
      </c>
      <c r="H15" s="86" t="s">
        <v>1</v>
      </c>
      <c r="I15" s="86" t="s">
        <v>1</v>
      </c>
      <c r="J15" s="86" t="s">
        <v>1</v>
      </c>
      <c r="K15" s="59"/>
      <c r="L15" s="69" t="e">
        <f t="shared" si="3"/>
        <v>#DIV/0!</v>
      </c>
      <c r="M15" s="165" t="e">
        <f t="shared" si="2"/>
        <v>#DIV/0!</v>
      </c>
      <c r="N15" s="70" t="e">
        <f t="shared" si="4"/>
        <v>#DIV/0!</v>
      </c>
      <c r="O15" s="70" t="e">
        <f t="shared" si="5"/>
        <v>#DIV/0!</v>
      </c>
      <c r="P15" s="90"/>
      <c r="Q15" s="30" t="e">
        <f>((E15*K15*P15)/(7*12))*(1+O15)</f>
        <v>#DIV/0!</v>
      </c>
      <c r="R15" s="30" t="e">
        <f t="shared" si="1"/>
        <v>#DIV/0!</v>
      </c>
    </row>
    <row r="16" spans="3:18" ht="20.25" thickBot="1" x14ac:dyDescent="0.3">
      <c r="C16" s="7" t="s">
        <v>351</v>
      </c>
      <c r="D16" s="119" t="s">
        <v>75</v>
      </c>
      <c r="E16" s="55"/>
      <c r="F16" s="55"/>
      <c r="G16" s="89" t="s">
        <v>1</v>
      </c>
      <c r="H16" s="146" t="s">
        <v>1</v>
      </c>
      <c r="I16" s="146" t="s">
        <v>1</v>
      </c>
      <c r="J16" s="89" t="s">
        <v>1</v>
      </c>
      <c r="K16" s="59"/>
      <c r="L16" s="164" t="e">
        <f t="shared" si="3"/>
        <v>#DIV/0!</v>
      </c>
      <c r="M16" s="166" t="e">
        <f t="shared" si="2"/>
        <v>#DIV/0!</v>
      </c>
      <c r="N16" s="168" t="e">
        <f t="shared" si="4"/>
        <v>#DIV/0!</v>
      </c>
      <c r="O16" s="168" t="e">
        <f t="shared" si="5"/>
        <v>#DIV/0!</v>
      </c>
      <c r="P16" s="90"/>
      <c r="Q16" s="120" t="e">
        <f>((E16*K16*P16)/(5*12))*(1+O16)</f>
        <v>#DIV/0!</v>
      </c>
      <c r="R16" s="120" t="e">
        <f t="shared" si="1"/>
        <v>#DIV/0!</v>
      </c>
    </row>
    <row r="17" spans="3:19" ht="20.25" thickBot="1" x14ac:dyDescent="0.3">
      <c r="C17" s="126"/>
      <c r="D17" s="127"/>
      <c r="E17" s="55"/>
      <c r="F17" s="130"/>
      <c r="G17" s="128"/>
      <c r="H17" s="117"/>
      <c r="I17" s="117"/>
      <c r="J17" s="128"/>
      <c r="K17" s="131"/>
      <c r="L17" s="128"/>
      <c r="M17" s="131"/>
      <c r="N17" s="131"/>
      <c r="O17" s="131"/>
      <c r="P17" s="130"/>
      <c r="Q17" s="130"/>
      <c r="R17" s="130"/>
      <c r="S17" s="16"/>
    </row>
    <row r="18" spans="3:19" ht="20.25" thickBot="1" x14ac:dyDescent="0.3">
      <c r="C18" s="6" t="s">
        <v>357</v>
      </c>
      <c r="D18" s="114" t="s">
        <v>35</v>
      </c>
      <c r="E18" s="55"/>
      <c r="F18" s="55"/>
      <c r="G18" s="69">
        <f>(F18*2)+(0.015*2)+(0.12)+(5*0.006*2)</f>
        <v>0.21</v>
      </c>
      <c r="H18" s="55"/>
      <c r="I18" s="69" t="e">
        <f>E18/H18</f>
        <v>#DIV/0!</v>
      </c>
      <c r="J18" s="55"/>
      <c r="K18" s="86" t="s">
        <v>1</v>
      </c>
      <c r="L18" s="70">
        <f>11/G18</f>
        <v>52.38095238095238</v>
      </c>
      <c r="M18" s="165">
        <f>ROUNDDOWN(L18,0)</f>
        <v>52</v>
      </c>
      <c r="N18" s="70">
        <f>11-(M18*G18)</f>
        <v>8.0000000000000071E-2</v>
      </c>
      <c r="O18" s="70">
        <f>N18/11</f>
        <v>7.2727272727272788E-3</v>
      </c>
      <c r="P18" s="90"/>
      <c r="Q18" s="30" t="e">
        <f>((G18*I18*P18)/(36*11))*(1+O18)</f>
        <v>#DIV/0!</v>
      </c>
      <c r="R18" s="30" t="e">
        <f t="shared" si="1"/>
        <v>#DIV/0!</v>
      </c>
    </row>
    <row r="19" spans="3:19" ht="20.25" thickBot="1" x14ac:dyDescent="0.3">
      <c r="C19" s="6" t="s">
        <v>357</v>
      </c>
      <c r="D19" s="114" t="s">
        <v>77</v>
      </c>
      <c r="E19" s="55"/>
      <c r="F19" s="55"/>
      <c r="G19" s="69">
        <f>(F19*2)+(0.015*2)+(J18)+(5*0.008*2)</f>
        <v>0.11</v>
      </c>
      <c r="H19" s="55"/>
      <c r="I19" s="69" t="e">
        <f t="shared" ref="I19" si="6">E19/H19</f>
        <v>#DIV/0!</v>
      </c>
      <c r="J19" s="55"/>
      <c r="K19" s="86" t="s">
        <v>1</v>
      </c>
      <c r="L19" s="70">
        <f>12/G19</f>
        <v>109.09090909090909</v>
      </c>
      <c r="M19" s="165">
        <f>ROUNDDOWN(L19,0)</f>
        <v>109</v>
      </c>
      <c r="N19" s="70">
        <f>12-(M19*G19)</f>
        <v>9.9999999999997868E-3</v>
      </c>
      <c r="O19" s="70">
        <f>N19/12</f>
        <v>8.3333333333331561E-4</v>
      </c>
      <c r="P19" s="90"/>
      <c r="Q19" s="30" t="e">
        <f>((G19*I19*P19)/(21*12))*(1+O19)</f>
        <v>#DIV/0!</v>
      </c>
      <c r="R19" s="30" t="e">
        <f t="shared" si="1"/>
        <v>#DIV/0!</v>
      </c>
      <c r="S19" s="16"/>
    </row>
    <row r="20" spans="3:19" ht="20.25" thickBot="1" x14ac:dyDescent="0.3">
      <c r="C20" s="6" t="s">
        <v>358</v>
      </c>
      <c r="D20" s="114" t="s">
        <v>76</v>
      </c>
      <c r="E20" s="55"/>
      <c r="F20" s="55"/>
      <c r="G20" s="86" t="s">
        <v>1</v>
      </c>
      <c r="H20" s="86" t="s">
        <v>1</v>
      </c>
      <c r="I20" s="86" t="s">
        <v>1</v>
      </c>
      <c r="J20" s="86" t="s">
        <v>1</v>
      </c>
      <c r="K20" s="59"/>
      <c r="L20" s="69" t="e">
        <f>12/E20</f>
        <v>#DIV/0!</v>
      </c>
      <c r="M20" s="165" t="e">
        <f t="shared" ref="M20:M23" si="7">ROUNDDOWN(L20,0)</f>
        <v>#DIV/0!</v>
      </c>
      <c r="N20" s="70" t="e">
        <f>12-(M20*E20)</f>
        <v>#DIV/0!</v>
      </c>
      <c r="O20" s="70" t="e">
        <f>N20/12</f>
        <v>#DIV/0!</v>
      </c>
      <c r="P20" s="90"/>
      <c r="Q20" s="30" t="e">
        <f>((E20*K20*P20)/(14*12))*(1+O20)</f>
        <v>#DIV/0!</v>
      </c>
      <c r="R20" s="30" t="e">
        <f t="shared" si="1"/>
        <v>#DIV/0!</v>
      </c>
    </row>
    <row r="21" spans="3:19" ht="20.25" thickBot="1" x14ac:dyDescent="0.3">
      <c r="C21" s="6" t="s">
        <v>358</v>
      </c>
      <c r="D21" s="114" t="s">
        <v>38</v>
      </c>
      <c r="E21" s="55"/>
      <c r="F21" s="55"/>
      <c r="G21" s="86" t="s">
        <v>1</v>
      </c>
      <c r="H21" s="86" t="s">
        <v>1</v>
      </c>
      <c r="I21" s="86" t="s">
        <v>1</v>
      </c>
      <c r="J21" s="86" t="s">
        <v>1</v>
      </c>
      <c r="K21" s="59"/>
      <c r="L21" s="69" t="e">
        <f t="shared" ref="L21:L23" si="8">12/E21</f>
        <v>#DIV/0!</v>
      </c>
      <c r="M21" s="165" t="e">
        <f t="shared" si="7"/>
        <v>#DIV/0!</v>
      </c>
      <c r="N21" s="70" t="e">
        <f t="shared" ref="N21:N23" si="9">12-(M21*E21)</f>
        <v>#DIV/0!</v>
      </c>
      <c r="O21" s="70" t="e">
        <f t="shared" ref="O21:O23" si="10">N21/12</f>
        <v>#DIV/0!</v>
      </c>
      <c r="P21" s="90"/>
      <c r="Q21" s="30" t="e">
        <f>((E21*K21*P21)/(9*12))*(1+O21)</f>
        <v>#DIV/0!</v>
      </c>
      <c r="R21" s="30" t="e">
        <f t="shared" si="1"/>
        <v>#DIV/0!</v>
      </c>
    </row>
    <row r="22" spans="3:19" ht="20.25" thickBot="1" x14ac:dyDescent="0.3">
      <c r="C22" s="6" t="s">
        <v>358</v>
      </c>
      <c r="D22" s="114" t="s">
        <v>41</v>
      </c>
      <c r="E22" s="55"/>
      <c r="F22" s="55"/>
      <c r="G22" s="86" t="s">
        <v>1</v>
      </c>
      <c r="H22" s="86" t="s">
        <v>1</v>
      </c>
      <c r="I22" s="86" t="s">
        <v>1</v>
      </c>
      <c r="J22" s="86" t="s">
        <v>1</v>
      </c>
      <c r="K22" s="59"/>
      <c r="L22" s="69" t="e">
        <f t="shared" si="8"/>
        <v>#DIV/0!</v>
      </c>
      <c r="M22" s="165" t="e">
        <f t="shared" si="7"/>
        <v>#DIV/0!</v>
      </c>
      <c r="N22" s="70" t="e">
        <f t="shared" si="9"/>
        <v>#DIV/0!</v>
      </c>
      <c r="O22" s="70" t="e">
        <f t="shared" si="10"/>
        <v>#DIV/0!</v>
      </c>
      <c r="P22" s="90"/>
      <c r="Q22" s="30" t="e">
        <f>((E22*K22*P22)/(7*12))*(1+O22)</f>
        <v>#DIV/0!</v>
      </c>
      <c r="R22" s="30" t="e">
        <f t="shared" si="1"/>
        <v>#DIV/0!</v>
      </c>
    </row>
    <row r="23" spans="3:19" ht="20.25" thickBot="1" x14ac:dyDescent="0.3">
      <c r="C23" s="125" t="s">
        <v>358</v>
      </c>
      <c r="D23" s="121" t="s">
        <v>75</v>
      </c>
      <c r="E23" s="55"/>
      <c r="F23" s="55"/>
      <c r="G23" s="146" t="s">
        <v>1</v>
      </c>
      <c r="H23" s="89" t="s">
        <v>1</v>
      </c>
      <c r="I23" s="89" t="s">
        <v>1</v>
      </c>
      <c r="J23" s="89" t="s">
        <v>1</v>
      </c>
      <c r="K23" s="59"/>
      <c r="L23" s="164" t="e">
        <f t="shared" si="8"/>
        <v>#DIV/0!</v>
      </c>
      <c r="M23" s="166" t="e">
        <f t="shared" si="7"/>
        <v>#DIV/0!</v>
      </c>
      <c r="N23" s="168" t="e">
        <f t="shared" si="9"/>
        <v>#DIV/0!</v>
      </c>
      <c r="O23" s="169" t="e">
        <f t="shared" si="10"/>
        <v>#DIV/0!</v>
      </c>
      <c r="P23" s="140"/>
      <c r="Q23" s="124" t="e">
        <f>((E23*K23*P23)/(5*12))*(1+O23)</f>
        <v>#DIV/0!</v>
      </c>
      <c r="R23" s="124" t="e">
        <f t="shared" si="1"/>
        <v>#DIV/0!</v>
      </c>
    </row>
    <row r="24" spans="3:19" ht="20.25" thickBot="1" x14ac:dyDescent="0.3">
      <c r="C24" s="115"/>
      <c r="D24" s="116"/>
      <c r="E24" s="128"/>
      <c r="F24" s="136"/>
      <c r="G24" s="136"/>
      <c r="H24" s="128"/>
      <c r="I24" s="128"/>
      <c r="J24" s="128"/>
      <c r="K24" s="129"/>
      <c r="L24" s="128"/>
      <c r="M24" s="129"/>
      <c r="N24" s="129"/>
      <c r="O24" s="118"/>
      <c r="P24" s="117"/>
      <c r="Q24" s="117"/>
      <c r="R24" s="117"/>
    </row>
    <row r="25" spans="3:19" ht="20.25" thickBot="1" x14ac:dyDescent="0.3">
      <c r="C25" s="6" t="s">
        <v>353</v>
      </c>
      <c r="D25" s="114" t="s">
        <v>35</v>
      </c>
      <c r="E25" s="55"/>
      <c r="F25" s="55"/>
      <c r="G25" s="69">
        <f>(F25*2)+(0.015*2)+(0.12)+(5*0.006*2)</f>
        <v>0.21</v>
      </c>
      <c r="H25" s="55"/>
      <c r="I25" s="69" t="e">
        <f>E25/H25</f>
        <v>#DIV/0!</v>
      </c>
      <c r="J25" s="55"/>
      <c r="K25" s="86" t="s">
        <v>1</v>
      </c>
      <c r="L25" s="70">
        <f>11/G25</f>
        <v>52.38095238095238</v>
      </c>
      <c r="M25" s="165">
        <f>ROUNDDOWN(L25,0)</f>
        <v>52</v>
      </c>
      <c r="N25" s="70">
        <f>11-(M25*G25)</f>
        <v>8.0000000000000071E-2</v>
      </c>
      <c r="O25" s="70">
        <f>N25/11</f>
        <v>7.2727272727272788E-3</v>
      </c>
      <c r="P25" s="90"/>
      <c r="Q25" s="30" t="e">
        <f>((G25*I25*P25)/(36*11))*(1+O25)</f>
        <v>#DIV/0!</v>
      </c>
      <c r="R25" s="30" t="e">
        <f t="shared" si="1"/>
        <v>#DIV/0!</v>
      </c>
    </row>
    <row r="26" spans="3:19" ht="20.25" thickBot="1" x14ac:dyDescent="0.3">
      <c r="C26" s="6" t="s">
        <v>353</v>
      </c>
      <c r="D26" s="114" t="s">
        <v>77</v>
      </c>
      <c r="E26" s="55"/>
      <c r="F26" s="55"/>
      <c r="G26" s="69">
        <f>(F26*2)+(0.015*2)+(J25)+(5*0.008*2)</f>
        <v>0.11</v>
      </c>
      <c r="H26" s="55"/>
      <c r="I26" s="69" t="e">
        <f t="shared" ref="I26" si="11">E26/H26</f>
        <v>#DIV/0!</v>
      </c>
      <c r="J26" s="55"/>
      <c r="K26" s="86" t="s">
        <v>1</v>
      </c>
      <c r="L26" s="70">
        <f>12/G26</f>
        <v>109.09090909090909</v>
      </c>
      <c r="M26" s="165">
        <f>ROUNDDOWN(L26,0)</f>
        <v>109</v>
      </c>
      <c r="N26" s="70">
        <f>12-(M26*G26)</f>
        <v>9.9999999999997868E-3</v>
      </c>
      <c r="O26" s="70">
        <f>N26/12</f>
        <v>8.3333333333331561E-4</v>
      </c>
      <c r="P26" s="90"/>
      <c r="Q26" s="30" t="e">
        <f>((G26*I26*P26)/(21*12))*(1+O26)</f>
        <v>#DIV/0!</v>
      </c>
      <c r="R26" s="30" t="e">
        <f t="shared" si="1"/>
        <v>#DIV/0!</v>
      </c>
    </row>
    <row r="27" spans="3:19" ht="20.25" thickBot="1" x14ac:dyDescent="0.3">
      <c r="C27" s="6" t="s">
        <v>359</v>
      </c>
      <c r="D27" s="114" t="s">
        <v>76</v>
      </c>
      <c r="E27" s="55"/>
      <c r="F27" s="55"/>
      <c r="G27" s="86" t="s">
        <v>1</v>
      </c>
      <c r="H27" s="86" t="s">
        <v>1</v>
      </c>
      <c r="I27" s="86" t="s">
        <v>1</v>
      </c>
      <c r="J27" s="86" t="s">
        <v>1</v>
      </c>
      <c r="K27" s="59"/>
      <c r="L27" s="69" t="e">
        <f>12/E27</f>
        <v>#DIV/0!</v>
      </c>
      <c r="M27" s="165" t="e">
        <f t="shared" ref="M27:M30" si="12">ROUNDDOWN(L27,0)</f>
        <v>#DIV/0!</v>
      </c>
      <c r="N27" s="70" t="e">
        <f>12-(M27*E27)</f>
        <v>#DIV/0!</v>
      </c>
      <c r="O27" s="70" t="e">
        <f>N27/12</f>
        <v>#DIV/0!</v>
      </c>
      <c r="P27" s="90"/>
      <c r="Q27" s="30" t="e">
        <f>((E27*K27*P27)/(14*12))*(1+O27)</f>
        <v>#DIV/0!</v>
      </c>
      <c r="R27" s="30" t="e">
        <f t="shared" si="1"/>
        <v>#DIV/0!</v>
      </c>
    </row>
    <row r="28" spans="3:19" ht="20.25" thickBot="1" x14ac:dyDescent="0.3">
      <c r="C28" s="6" t="s">
        <v>359</v>
      </c>
      <c r="D28" s="114" t="s">
        <v>38</v>
      </c>
      <c r="E28" s="55"/>
      <c r="F28" s="55"/>
      <c r="G28" s="86" t="s">
        <v>1</v>
      </c>
      <c r="H28" s="86" t="s">
        <v>1</v>
      </c>
      <c r="I28" s="86" t="s">
        <v>1</v>
      </c>
      <c r="J28" s="86" t="s">
        <v>1</v>
      </c>
      <c r="K28" s="59"/>
      <c r="L28" s="69" t="e">
        <f t="shared" ref="L28:L30" si="13">12/E28</f>
        <v>#DIV/0!</v>
      </c>
      <c r="M28" s="165" t="e">
        <f t="shared" si="12"/>
        <v>#DIV/0!</v>
      </c>
      <c r="N28" s="70" t="e">
        <f t="shared" ref="N28:N30" si="14">12-(M28*E28)</f>
        <v>#DIV/0!</v>
      </c>
      <c r="O28" s="70" t="e">
        <f t="shared" ref="O28:O30" si="15">N28/12</f>
        <v>#DIV/0!</v>
      </c>
      <c r="P28" s="90"/>
      <c r="Q28" s="30" t="e">
        <f>((E28*K28*P28)/(9*12))*(1+O28)</f>
        <v>#DIV/0!</v>
      </c>
      <c r="R28" s="30" t="e">
        <f t="shared" si="1"/>
        <v>#DIV/0!</v>
      </c>
    </row>
    <row r="29" spans="3:19" ht="20.25" thickBot="1" x14ac:dyDescent="0.3">
      <c r="C29" s="6" t="s">
        <v>359</v>
      </c>
      <c r="D29" s="114" t="s">
        <v>41</v>
      </c>
      <c r="E29" s="55"/>
      <c r="F29" s="55"/>
      <c r="G29" s="86" t="s">
        <v>1</v>
      </c>
      <c r="H29" s="86" t="s">
        <v>1</v>
      </c>
      <c r="I29" s="86" t="s">
        <v>1</v>
      </c>
      <c r="J29" s="86" t="s">
        <v>1</v>
      </c>
      <c r="K29" s="59"/>
      <c r="L29" s="69" t="e">
        <f t="shared" si="13"/>
        <v>#DIV/0!</v>
      </c>
      <c r="M29" s="165" t="e">
        <f t="shared" si="12"/>
        <v>#DIV/0!</v>
      </c>
      <c r="N29" s="70" t="e">
        <f t="shared" si="14"/>
        <v>#DIV/0!</v>
      </c>
      <c r="O29" s="70" t="e">
        <f t="shared" si="15"/>
        <v>#DIV/0!</v>
      </c>
      <c r="P29" s="90"/>
      <c r="Q29" s="30" t="e">
        <f>((E29*K29*P29)/(7*12))*(1+O29)</f>
        <v>#DIV/0!</v>
      </c>
      <c r="R29" s="30" t="e">
        <f t="shared" si="1"/>
        <v>#DIV/0!</v>
      </c>
    </row>
    <row r="30" spans="3:19" ht="20.25" thickBot="1" x14ac:dyDescent="0.3">
      <c r="C30" s="6" t="s">
        <v>359</v>
      </c>
      <c r="D30" s="114" t="s">
        <v>75</v>
      </c>
      <c r="E30" s="55"/>
      <c r="F30" s="55"/>
      <c r="G30" s="86" t="s">
        <v>1</v>
      </c>
      <c r="H30" s="86" t="s">
        <v>1</v>
      </c>
      <c r="I30" s="86" t="s">
        <v>1</v>
      </c>
      <c r="J30" s="86" t="s">
        <v>1</v>
      </c>
      <c r="K30" s="83"/>
      <c r="L30" s="69" t="e">
        <f t="shared" si="13"/>
        <v>#DIV/0!</v>
      </c>
      <c r="M30" s="167" t="e">
        <f t="shared" si="12"/>
        <v>#DIV/0!</v>
      </c>
      <c r="N30" s="70" t="e">
        <f t="shared" si="14"/>
        <v>#DIV/0!</v>
      </c>
      <c r="O30" s="171" t="e">
        <f t="shared" si="15"/>
        <v>#DIV/0!</v>
      </c>
      <c r="P30" s="90"/>
      <c r="Q30" s="30" t="e">
        <f>((E30*K30*P30)/(5*12))*(1+O30)</f>
        <v>#DIV/0!</v>
      </c>
      <c r="R30" s="30" t="e">
        <f t="shared" si="1"/>
        <v>#DIV/0!</v>
      </c>
    </row>
    <row r="31" spans="3:19" x14ac:dyDescent="0.25">
      <c r="E31" s="62"/>
      <c r="F31" s="62"/>
      <c r="H31" s="62"/>
      <c r="J31" s="62"/>
      <c r="K31" s="62"/>
      <c r="M31" s="62"/>
      <c r="N31" s="62"/>
      <c r="O31" s="62"/>
      <c r="P31" s="62"/>
    </row>
    <row r="32" spans="3:19" ht="15.75" thickBot="1" x14ac:dyDescent="0.3"/>
    <row r="33" spans="4:19" ht="20.25" thickBot="1" x14ac:dyDescent="0.3">
      <c r="P33" s="112" t="s">
        <v>0</v>
      </c>
      <c r="Q33" s="112" t="s">
        <v>349</v>
      </c>
      <c r="R33" s="112" t="s">
        <v>349</v>
      </c>
    </row>
    <row r="34" spans="4:19" ht="27.75" thickBot="1" x14ac:dyDescent="0.4">
      <c r="K34" s="16"/>
      <c r="P34" s="111" t="s">
        <v>363</v>
      </c>
      <c r="Q34" s="110" t="e">
        <f t="shared" ref="Q34:R39" si="16">Q11+Q18+Q25</f>
        <v>#DIV/0!</v>
      </c>
      <c r="R34" s="109" t="e">
        <f t="shared" si="16"/>
        <v>#DIV/0!</v>
      </c>
    </row>
    <row r="35" spans="4:19" ht="27.75" thickBot="1" x14ac:dyDescent="0.4">
      <c r="D35" s="149" t="s">
        <v>396</v>
      </c>
      <c r="E35" s="149"/>
      <c r="F35" s="149"/>
      <c r="G35" s="149"/>
      <c r="H35" s="150"/>
      <c r="I35" s="149"/>
      <c r="J35" s="149"/>
      <c r="P35" s="111" t="s">
        <v>364</v>
      </c>
      <c r="Q35" s="110" t="e">
        <f t="shared" si="16"/>
        <v>#DIV/0!</v>
      </c>
      <c r="R35" s="109" t="e">
        <f t="shared" si="16"/>
        <v>#DIV/0!</v>
      </c>
    </row>
    <row r="36" spans="4:19" ht="27.75" thickBot="1" x14ac:dyDescent="0.4">
      <c r="P36" s="111" t="s">
        <v>344</v>
      </c>
      <c r="Q36" s="110" t="e">
        <f t="shared" si="16"/>
        <v>#DIV/0!</v>
      </c>
      <c r="R36" s="109" t="e">
        <f t="shared" si="16"/>
        <v>#DIV/0!</v>
      </c>
    </row>
    <row r="37" spans="4:19" ht="27.75" thickBot="1" x14ac:dyDescent="0.4">
      <c r="P37" s="111" t="s">
        <v>348</v>
      </c>
      <c r="Q37" s="110" t="e">
        <f t="shared" si="16"/>
        <v>#DIV/0!</v>
      </c>
      <c r="R37" s="109" t="e">
        <f t="shared" si="16"/>
        <v>#DIV/0!</v>
      </c>
    </row>
    <row r="38" spans="4:19" ht="27.75" thickBot="1" x14ac:dyDescent="0.4">
      <c r="P38" s="111" t="s">
        <v>345</v>
      </c>
      <c r="Q38" s="110" t="e">
        <f t="shared" si="16"/>
        <v>#DIV/0!</v>
      </c>
      <c r="R38" s="109" t="e">
        <f t="shared" si="16"/>
        <v>#DIV/0!</v>
      </c>
    </row>
    <row r="39" spans="4:19" ht="27.75" thickBot="1" x14ac:dyDescent="0.4">
      <c r="P39" s="111" t="s">
        <v>346</v>
      </c>
      <c r="Q39" s="110" t="e">
        <f t="shared" si="16"/>
        <v>#DIV/0!</v>
      </c>
      <c r="R39" s="109" t="e">
        <f t="shared" si="16"/>
        <v>#DIV/0!</v>
      </c>
    </row>
    <row r="41" spans="4:19" x14ac:dyDescent="0.25">
      <c r="S41" s="16"/>
    </row>
    <row r="48" spans="4:19" ht="19.899999999999999" customHeight="1" x14ac:dyDescent="0.25"/>
    <row r="49" spans="18:18" ht="19.899999999999999" customHeight="1" x14ac:dyDescent="0.25">
      <c r="R49" s="16"/>
    </row>
    <row r="50" spans="18:18" ht="19.899999999999999" customHeight="1" x14ac:dyDescent="0.25">
      <c r="R50" s="16"/>
    </row>
    <row r="51" spans="18:18" ht="19.899999999999999" customHeight="1" x14ac:dyDescent="0.25"/>
    <row r="52" spans="18:18" ht="19.899999999999999" customHeight="1" x14ac:dyDescent="0.25"/>
    <row r="53" spans="18:18" ht="19.899999999999999" customHeight="1" x14ac:dyDescent="0.25"/>
    <row r="54" spans="18:18" ht="19.899999999999999" customHeight="1" x14ac:dyDescent="0.25"/>
  </sheetData>
  <sheetProtection algorithmName="SHA-512" hashValue="En0bFDD5LLuM82w2h8eLorygjB3mVHAoqqc5NfXtFe40kcYj5MF+002iM3mB74OZ2Xes4KxX6goAbS3A0EG4+Q==" saltValue="K+HavQUmbos2jHF8E9M0sA==" spinCount="100000" sheet="1" objects="1" scenarios="1"/>
  <mergeCells count="1">
    <mergeCell ref="C9:C10"/>
  </mergeCells>
  <pageMargins left="0.7" right="0.7" top="0.75" bottom="0.75" header="0.3" footer="0.3"/>
  <pageSetup paperSize="9" orientation="portrait" r:id="rId1"/>
  <ignoredErrors>
    <ignoredError sqref="G11:G12 I11:I12 L11:L16 M11:M16 N11:N13 O11:O16 N14:N16 G18:G19 I18:I19 L18:L23 M18:M23 N18:N23 O18:O23 O25:O30 N25:N30 M25:M29 G25:G26 I25:I26 L25:L29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5"/>
  <sheetViews>
    <sheetView topLeftCell="B1" zoomScale="82" zoomScaleNormal="82" workbookViewId="0">
      <selection activeCell="H22" sqref="H22"/>
    </sheetView>
  </sheetViews>
  <sheetFormatPr baseColWidth="10" defaultColWidth="10.7109375" defaultRowHeight="15" x14ac:dyDescent="0.25"/>
  <cols>
    <col min="3" max="3" width="25.7109375" customWidth="1"/>
    <col min="4" max="4" width="18.28515625" customWidth="1"/>
    <col min="5" max="5" width="16.28515625" customWidth="1"/>
    <col min="6" max="6" width="16.42578125" customWidth="1"/>
    <col min="7" max="7" width="15.5703125" customWidth="1"/>
    <col min="8" max="8" width="20.5703125" customWidth="1"/>
    <col min="9" max="9" width="16.140625" customWidth="1"/>
    <col min="10" max="10" width="16.7109375" customWidth="1"/>
    <col min="11" max="11" width="15.5703125" customWidth="1"/>
    <col min="12" max="13" width="16.5703125" customWidth="1"/>
    <col min="14" max="14" width="15" customWidth="1"/>
  </cols>
  <sheetData>
    <row r="3" spans="2:15" ht="15.75" x14ac:dyDescent="0.25">
      <c r="D3" s="107" t="s">
        <v>391</v>
      </c>
      <c r="E3" s="107"/>
      <c r="F3" s="108"/>
    </row>
    <row r="5" spans="2:15" ht="21" x14ac:dyDescent="0.35">
      <c r="D5" s="162" t="s">
        <v>413</v>
      </c>
      <c r="E5" s="162"/>
      <c r="F5" s="162"/>
      <c r="G5" s="162"/>
      <c r="H5" s="162"/>
    </row>
    <row r="7" spans="2:15" ht="19.5" x14ac:dyDescent="0.3">
      <c r="D7" s="102" t="s">
        <v>45</v>
      </c>
      <c r="E7" s="103"/>
      <c r="J7" s="58"/>
    </row>
    <row r="8" spans="2:15" ht="21.75" thickBot="1" x14ac:dyDescent="0.4">
      <c r="C8" s="19" t="s">
        <v>49</v>
      </c>
      <c r="E8" s="1"/>
      <c r="F8" s="21" t="s">
        <v>46</v>
      </c>
      <c r="G8" s="1"/>
      <c r="H8" s="1"/>
      <c r="I8" s="1"/>
      <c r="J8" s="1"/>
      <c r="K8" s="1"/>
      <c r="L8" s="1"/>
      <c r="M8" s="1"/>
      <c r="N8" s="1"/>
    </row>
    <row r="9" spans="2:15" ht="19.5" x14ac:dyDescent="0.25">
      <c r="C9" s="191" t="s">
        <v>0</v>
      </c>
      <c r="D9" s="22" t="s">
        <v>33</v>
      </c>
      <c r="E9" s="9" t="s">
        <v>2</v>
      </c>
      <c r="F9" s="12" t="s">
        <v>4</v>
      </c>
      <c r="G9" s="12" t="s">
        <v>29</v>
      </c>
      <c r="H9" s="12" t="s">
        <v>14</v>
      </c>
      <c r="I9" s="12" t="s">
        <v>314</v>
      </c>
      <c r="J9" s="12" t="s">
        <v>316</v>
      </c>
      <c r="K9" s="12" t="s">
        <v>318</v>
      </c>
      <c r="L9" s="12" t="s">
        <v>320</v>
      </c>
      <c r="M9" s="14" t="s">
        <v>5</v>
      </c>
      <c r="N9" s="14" t="s">
        <v>5</v>
      </c>
    </row>
    <row r="10" spans="2:15" ht="20.25" thickBot="1" x14ac:dyDescent="0.3">
      <c r="C10" s="192"/>
      <c r="D10" s="23" t="s">
        <v>34</v>
      </c>
      <c r="E10" s="10" t="s">
        <v>25</v>
      </c>
      <c r="F10" s="13" t="s">
        <v>25</v>
      </c>
      <c r="G10" s="13" t="s">
        <v>30</v>
      </c>
      <c r="H10" s="13" t="s">
        <v>26</v>
      </c>
      <c r="I10" s="13" t="s">
        <v>315</v>
      </c>
      <c r="J10" s="13" t="s">
        <v>317</v>
      </c>
      <c r="K10" s="13" t="s">
        <v>319</v>
      </c>
      <c r="L10" s="13" t="s">
        <v>321</v>
      </c>
      <c r="M10" s="15" t="s">
        <v>31</v>
      </c>
      <c r="N10" s="15" t="s">
        <v>32</v>
      </c>
    </row>
    <row r="11" spans="2:15" ht="20.25" thickBot="1" x14ac:dyDescent="0.3">
      <c r="C11" s="6" t="s">
        <v>166</v>
      </c>
      <c r="D11" s="114" t="s">
        <v>76</v>
      </c>
      <c r="E11" s="55"/>
      <c r="F11" s="55"/>
      <c r="G11" s="59"/>
      <c r="H11" s="55"/>
      <c r="I11" s="70" t="e">
        <f>12/(E11+F11)</f>
        <v>#DIV/0!</v>
      </c>
      <c r="J11" s="165" t="e">
        <f>ROUNDDOWN(I11,0)</f>
        <v>#DIV/0!</v>
      </c>
      <c r="K11" s="69" t="e">
        <f>12-(J11*(E11+F11))</f>
        <v>#DIV/0!</v>
      </c>
      <c r="L11" s="172" t="e">
        <f>(K11/12)</f>
        <v>#DIV/0!</v>
      </c>
      <c r="M11" s="173" t="e">
        <f>(((((((E11/G11)+1)*(F11))+((((E11/G11)+1))*(15*0.01*2)))+((((F11/G11)+1)*(E11))+(((F11/G11)+1)*(15*0.01*2))))*H11)/(14*12))*(1+L11)</f>
        <v>#DIV/0!</v>
      </c>
      <c r="N11" s="174" t="e">
        <f>M11/10</f>
        <v>#DIV/0!</v>
      </c>
    </row>
    <row r="12" spans="2:15" ht="20.25" thickBot="1" x14ac:dyDescent="0.3">
      <c r="C12" s="6" t="s">
        <v>167</v>
      </c>
      <c r="D12" s="114" t="s">
        <v>38</v>
      </c>
      <c r="E12" s="55"/>
      <c r="F12" s="55"/>
      <c r="G12" s="59"/>
      <c r="H12" s="55"/>
      <c r="I12" s="70" t="e">
        <f t="shared" ref="I12:I15" si="0">12/(E12+F12)</f>
        <v>#DIV/0!</v>
      </c>
      <c r="J12" s="165" t="e">
        <f t="shared" ref="J12:J15" si="1">ROUNDDOWN(I12,0)</f>
        <v>#DIV/0!</v>
      </c>
      <c r="K12" s="69" t="e">
        <f t="shared" ref="K12:K15" si="2">12-(J12*(E12+F12))</f>
        <v>#DIV/0!</v>
      </c>
      <c r="L12" s="172" t="e">
        <f t="shared" ref="L12:L15" si="3">(K12/12)</f>
        <v>#DIV/0!</v>
      </c>
      <c r="M12" s="173" t="e">
        <f>(((((((E12/G12)+1)*(F12))+((((E12/G12)+1))*(15*0.012*2)))+((((F12/G12)+1)*(E12))+(((F12/G12)+1)*(15*0.012*2))))*H12)/(9*12))*(1+L12)</f>
        <v>#DIV/0!</v>
      </c>
      <c r="N12" s="174" t="e">
        <f t="shared" ref="N12:N15" si="4">M12/10</f>
        <v>#DIV/0!</v>
      </c>
    </row>
    <row r="13" spans="2:15" ht="20.25" thickBot="1" x14ac:dyDescent="0.3">
      <c r="C13" s="6" t="s">
        <v>168</v>
      </c>
      <c r="D13" s="114" t="s">
        <v>41</v>
      </c>
      <c r="E13" s="55"/>
      <c r="F13" s="55"/>
      <c r="G13" s="59"/>
      <c r="H13" s="55"/>
      <c r="I13" s="70" t="e">
        <f t="shared" si="0"/>
        <v>#DIV/0!</v>
      </c>
      <c r="J13" s="165" t="e">
        <f t="shared" si="1"/>
        <v>#DIV/0!</v>
      </c>
      <c r="K13" s="69" t="e">
        <f t="shared" si="2"/>
        <v>#DIV/0!</v>
      </c>
      <c r="L13" s="172" t="e">
        <f t="shared" si="3"/>
        <v>#DIV/0!</v>
      </c>
      <c r="M13" s="173" t="e">
        <f>(((((((E13/G13)+1)*(F13))+((((E13/G13)+1))*(15*0.014*2)))+((((F13/G13)+1)*(E13))+(((F13/G13)+1)*(15*0.014*2))))*H13)/(7*12))*(1+L13)</f>
        <v>#DIV/0!</v>
      </c>
      <c r="N13" s="174" t="e">
        <f t="shared" si="4"/>
        <v>#DIV/0!</v>
      </c>
    </row>
    <row r="14" spans="2:15" ht="20.25" thickBot="1" x14ac:dyDescent="0.3">
      <c r="C14" s="6" t="s">
        <v>169</v>
      </c>
      <c r="D14" s="114" t="s">
        <v>75</v>
      </c>
      <c r="E14" s="55"/>
      <c r="F14" s="55"/>
      <c r="G14" s="59"/>
      <c r="H14" s="55"/>
      <c r="I14" s="70" t="e">
        <f t="shared" si="0"/>
        <v>#DIV/0!</v>
      </c>
      <c r="J14" s="165" t="e">
        <f t="shared" si="1"/>
        <v>#DIV/0!</v>
      </c>
      <c r="K14" s="69" t="e">
        <f t="shared" si="2"/>
        <v>#DIV/0!</v>
      </c>
      <c r="L14" s="172" t="e">
        <f t="shared" si="3"/>
        <v>#DIV/0!</v>
      </c>
      <c r="M14" s="173" t="e">
        <f>(((((((E14/G14)+1)*(F14))+((((E14/G14)+1))*(15*0.016*2)))+((((F14/G14)+1)*(E14))+(((F14/G14)+1)*(15*0.016*2))))*H14)/(5*12))*(1+L14)</f>
        <v>#DIV/0!</v>
      </c>
      <c r="N14" s="174" t="e">
        <f t="shared" si="4"/>
        <v>#DIV/0!</v>
      </c>
    </row>
    <row r="15" spans="2:15" ht="20.25" thickBot="1" x14ac:dyDescent="0.3">
      <c r="C15" s="7" t="s">
        <v>170</v>
      </c>
      <c r="D15" s="121" t="s">
        <v>322</v>
      </c>
      <c r="E15" s="57"/>
      <c r="F15" s="57"/>
      <c r="G15" s="83"/>
      <c r="H15" s="57"/>
      <c r="I15" s="168" t="e">
        <f t="shared" si="0"/>
        <v>#DIV/0!</v>
      </c>
      <c r="J15" s="170" t="e">
        <f t="shared" si="1"/>
        <v>#DIV/0!</v>
      </c>
      <c r="K15" s="175" t="e">
        <f t="shared" si="2"/>
        <v>#DIV/0!</v>
      </c>
      <c r="L15" s="176" t="e">
        <f t="shared" si="3"/>
        <v>#DIV/0!</v>
      </c>
      <c r="M15" s="177" t="e">
        <f>(((((((E15/G15)+1)*(F15))+((((E15/G15)+1))*(15*0.02*2)))+((((F15/G15)+1)*(E15))+(((F15/G15)+1)*(15*0.02*2))))*H15)/(3*12))*(1+L15)</f>
        <v>#DIV/0!</v>
      </c>
      <c r="N15" s="178" t="e">
        <f t="shared" si="4"/>
        <v>#DIV/0!</v>
      </c>
    </row>
    <row r="16" spans="2:15" ht="20.25" thickBot="1" x14ac:dyDescent="0.3">
      <c r="B16" s="16"/>
      <c r="C16" s="126"/>
      <c r="D16" s="138"/>
      <c r="E16" s="127"/>
      <c r="F16" s="127"/>
      <c r="G16" s="127"/>
      <c r="H16" s="127"/>
      <c r="I16" s="179"/>
      <c r="J16" s="180"/>
      <c r="K16" s="180"/>
      <c r="L16" s="179"/>
      <c r="M16" s="180"/>
      <c r="N16" s="180"/>
      <c r="O16" s="16"/>
    </row>
    <row r="17" spans="2:15" ht="20.25" thickBot="1" x14ac:dyDescent="0.3">
      <c r="C17" s="6" t="s">
        <v>166</v>
      </c>
      <c r="D17" s="114" t="s">
        <v>76</v>
      </c>
      <c r="E17" s="55"/>
      <c r="F17" s="55"/>
      <c r="G17" s="59"/>
      <c r="H17" s="55"/>
      <c r="I17" s="70" t="e">
        <f>12/(E17+F17)</f>
        <v>#DIV/0!</v>
      </c>
      <c r="J17" s="165" t="e">
        <f>ROUNDDOWN(I17,0)</f>
        <v>#DIV/0!</v>
      </c>
      <c r="K17" s="69" t="e">
        <f>12-(J17*(E17+F17))</f>
        <v>#DIV/0!</v>
      </c>
      <c r="L17" s="172" t="e">
        <f>(K17/12)</f>
        <v>#DIV/0!</v>
      </c>
      <c r="M17" s="173" t="e">
        <f>(((((((E17/G17)+1)*(F17))+((((E17/G17)+1))*(15*0.01*2)))+((((F17/G17)+1)*(E17))+(((F17/G17)+1)*(15*0.01*2))))*H17)/(14*12))*(1+L17)</f>
        <v>#DIV/0!</v>
      </c>
      <c r="N17" s="174" t="e">
        <f>M17/10</f>
        <v>#DIV/0!</v>
      </c>
    </row>
    <row r="18" spans="2:15" ht="20.25" thickBot="1" x14ac:dyDescent="0.3">
      <c r="C18" s="6" t="s">
        <v>167</v>
      </c>
      <c r="D18" s="114" t="s">
        <v>38</v>
      </c>
      <c r="E18" s="55"/>
      <c r="F18" s="55"/>
      <c r="G18" s="59"/>
      <c r="H18" s="55"/>
      <c r="I18" s="70" t="e">
        <f t="shared" ref="I18:I21" si="5">12/(E18+F18)</f>
        <v>#DIV/0!</v>
      </c>
      <c r="J18" s="165" t="e">
        <f t="shared" ref="J18:J21" si="6">ROUNDDOWN(I18,0)</f>
        <v>#DIV/0!</v>
      </c>
      <c r="K18" s="69" t="e">
        <f t="shared" ref="K18:K21" si="7">12-(J18*(E18+F18))</f>
        <v>#DIV/0!</v>
      </c>
      <c r="L18" s="172" t="e">
        <f t="shared" ref="L18:L21" si="8">(K18/12)</f>
        <v>#DIV/0!</v>
      </c>
      <c r="M18" s="173" t="e">
        <f t="shared" ref="M18" si="9">(((((((E18/G18)+1)*(F18))+((((E18/G18)+1))*(15*0.012*2)))+((((F18/G18)+1)*(E18))+(((F18/G18)+1)*(15*0.012*2))))*H18)/(9*12))*(1+L18)</f>
        <v>#DIV/0!</v>
      </c>
      <c r="N18" s="174" t="e">
        <f t="shared" ref="N18:N21" si="10">M18/10</f>
        <v>#DIV/0!</v>
      </c>
    </row>
    <row r="19" spans="2:15" ht="20.25" thickBot="1" x14ac:dyDescent="0.3">
      <c r="C19" s="6" t="s">
        <v>168</v>
      </c>
      <c r="D19" s="114" t="s">
        <v>41</v>
      </c>
      <c r="E19" s="55"/>
      <c r="F19" s="55"/>
      <c r="G19" s="59"/>
      <c r="H19" s="55"/>
      <c r="I19" s="70" t="e">
        <f t="shared" si="5"/>
        <v>#DIV/0!</v>
      </c>
      <c r="J19" s="165" t="e">
        <f t="shared" si="6"/>
        <v>#DIV/0!</v>
      </c>
      <c r="K19" s="69" t="e">
        <f t="shared" si="7"/>
        <v>#DIV/0!</v>
      </c>
      <c r="L19" s="172" t="e">
        <f t="shared" si="8"/>
        <v>#DIV/0!</v>
      </c>
      <c r="M19" s="173" t="e">
        <f>(((((((E19/G19)+1)*(F19))+((((E19/G19)+1))*(15*0.014*2)))+((((F19/G19)+1)*(E19))+(((F19/G19)+1)*(15*0.014*2))))*H19)/(7*12))*(1+L19)</f>
        <v>#DIV/0!</v>
      </c>
      <c r="N19" s="174" t="e">
        <f t="shared" si="10"/>
        <v>#DIV/0!</v>
      </c>
    </row>
    <row r="20" spans="2:15" ht="20.25" thickBot="1" x14ac:dyDescent="0.3">
      <c r="C20" s="6" t="s">
        <v>169</v>
      </c>
      <c r="D20" s="114" t="s">
        <v>75</v>
      </c>
      <c r="E20" s="55"/>
      <c r="F20" s="55"/>
      <c r="G20" s="59"/>
      <c r="H20" s="55"/>
      <c r="I20" s="70" t="e">
        <f t="shared" si="5"/>
        <v>#DIV/0!</v>
      </c>
      <c r="J20" s="165" t="e">
        <f t="shared" si="6"/>
        <v>#DIV/0!</v>
      </c>
      <c r="K20" s="69" t="e">
        <f t="shared" si="7"/>
        <v>#DIV/0!</v>
      </c>
      <c r="L20" s="172" t="e">
        <f t="shared" si="8"/>
        <v>#DIV/0!</v>
      </c>
      <c r="M20" s="173" t="e">
        <f>(((((((E20/G20)+1)*(F20))+((((E20/G20)+1))*(15*0.016*2)))+((((F20/G20)+1)*(E20))+(((F20/G20)+1)*(15*0.016*2))))*H20)/(5*12))*(1+L20)</f>
        <v>#DIV/0!</v>
      </c>
      <c r="N20" s="174" t="e">
        <f t="shared" si="10"/>
        <v>#DIV/0!</v>
      </c>
    </row>
    <row r="21" spans="2:15" ht="20.25" thickBot="1" x14ac:dyDescent="0.3">
      <c r="C21" s="125" t="s">
        <v>170</v>
      </c>
      <c r="D21" s="121" t="s">
        <v>322</v>
      </c>
      <c r="E21" s="57"/>
      <c r="F21" s="57"/>
      <c r="G21" s="83"/>
      <c r="H21" s="57"/>
      <c r="I21" s="168" t="e">
        <f t="shared" si="5"/>
        <v>#DIV/0!</v>
      </c>
      <c r="J21" s="170" t="e">
        <f t="shared" si="6"/>
        <v>#DIV/0!</v>
      </c>
      <c r="K21" s="175" t="e">
        <f t="shared" si="7"/>
        <v>#DIV/0!</v>
      </c>
      <c r="L21" s="181" t="e">
        <f t="shared" si="8"/>
        <v>#DIV/0!</v>
      </c>
      <c r="M21" s="177" t="e">
        <f>(((((((E21/G21)+1)*(F21))+((((E21/G21)+1))*(15*0.02*2)))+((((F21/G21)+1)*(E21))+(((F21/G21)+1)*(15*0.02*2))))*H21)/(3*12))*(1+L21)</f>
        <v>#DIV/0!</v>
      </c>
      <c r="N21" s="178" t="e">
        <f t="shared" si="10"/>
        <v>#DIV/0!</v>
      </c>
    </row>
    <row r="22" spans="2:15" ht="20.25" thickBot="1" x14ac:dyDescent="0.3">
      <c r="B22" s="16"/>
      <c r="C22" s="137"/>
      <c r="D22" s="138"/>
      <c r="E22" s="128"/>
      <c r="F22" s="128"/>
      <c r="G22" s="129"/>
      <c r="H22" s="128"/>
      <c r="I22" s="182"/>
      <c r="J22" s="183"/>
      <c r="K22" s="183"/>
      <c r="L22" s="183"/>
      <c r="M22" s="183"/>
      <c r="N22" s="183"/>
      <c r="O22" s="16"/>
    </row>
    <row r="23" spans="2:15" ht="20.25" thickBot="1" x14ac:dyDescent="0.3">
      <c r="C23" s="6" t="s">
        <v>166</v>
      </c>
      <c r="D23" s="114" t="s">
        <v>76</v>
      </c>
      <c r="E23" s="55"/>
      <c r="F23" s="55"/>
      <c r="G23" s="59"/>
      <c r="H23" s="55"/>
      <c r="I23" s="70" t="e">
        <f>12/(E23+F23)</f>
        <v>#DIV/0!</v>
      </c>
      <c r="J23" s="165" t="e">
        <f>ROUNDDOWN(I23,0)</f>
        <v>#DIV/0!</v>
      </c>
      <c r="K23" s="69" t="e">
        <f>12-(J23*(E23+F23))</f>
        <v>#DIV/0!</v>
      </c>
      <c r="L23" s="172" t="e">
        <f>(K23/12)</f>
        <v>#DIV/0!</v>
      </c>
      <c r="M23" s="173" t="e">
        <f>(((((((E23/G23)+1)*(F23))+((((E23/G23)+1))*(15*0.01*2)))+((((F23/G23)+1)*(E23))+(((F23/G23)+1)*(15*0.01*2))))*H23)/(14*12))*(1+L23)</f>
        <v>#DIV/0!</v>
      </c>
      <c r="N23" s="174" t="e">
        <f>M23/10</f>
        <v>#DIV/0!</v>
      </c>
    </row>
    <row r="24" spans="2:15" ht="20.25" thickBot="1" x14ac:dyDescent="0.3">
      <c r="C24" s="6" t="s">
        <v>169</v>
      </c>
      <c r="D24" s="114" t="s">
        <v>38</v>
      </c>
      <c r="E24" s="55"/>
      <c r="F24" s="55"/>
      <c r="G24" s="59"/>
      <c r="H24" s="55"/>
      <c r="I24" s="70" t="e">
        <f t="shared" ref="I24:I27" si="11">12/(E24+F24)</f>
        <v>#DIV/0!</v>
      </c>
      <c r="J24" s="165" t="e">
        <f t="shared" ref="J24:J27" si="12">ROUNDDOWN(I24,0)</f>
        <v>#DIV/0!</v>
      </c>
      <c r="K24" s="69" t="e">
        <f t="shared" ref="K24:K27" si="13">12-(J24*(E24+F24))</f>
        <v>#DIV/0!</v>
      </c>
      <c r="L24" s="172" t="e">
        <f t="shared" ref="L24:L27" si="14">(K24/12)</f>
        <v>#DIV/0!</v>
      </c>
      <c r="M24" s="173" t="e">
        <f t="shared" ref="M24" si="15">(((((((E24/G24)+1)*(F24))+((((E24/G24)+1))*(15*0.012*2)))+((((F24/G24)+1)*(E24))+(((F24/G24)+1)*(15*0.012*2))))*H24)/(9*12))*(1+L24)</f>
        <v>#DIV/0!</v>
      </c>
      <c r="N24" s="174" t="e">
        <f t="shared" ref="N24:N27" si="16">M24/10</f>
        <v>#DIV/0!</v>
      </c>
    </row>
    <row r="25" spans="2:15" ht="20.25" thickBot="1" x14ac:dyDescent="0.3">
      <c r="C25" s="6" t="s">
        <v>170</v>
      </c>
      <c r="D25" s="114" t="s">
        <v>41</v>
      </c>
      <c r="E25" s="55"/>
      <c r="F25" s="55"/>
      <c r="G25" s="59"/>
      <c r="H25" s="55"/>
      <c r="I25" s="70" t="e">
        <f t="shared" si="11"/>
        <v>#DIV/0!</v>
      </c>
      <c r="J25" s="165" t="e">
        <f t="shared" si="12"/>
        <v>#DIV/0!</v>
      </c>
      <c r="K25" s="69" t="e">
        <f t="shared" si="13"/>
        <v>#DIV/0!</v>
      </c>
      <c r="L25" s="172" t="e">
        <f t="shared" si="14"/>
        <v>#DIV/0!</v>
      </c>
      <c r="M25" s="173" t="e">
        <f>(((((((E25/G25)+1)*(F25))+((((E25/G25)+1))*(15*0.014*2)))+((((F25/G25)+1)*(E25))+(((F25/G25)+1)*(15*0.014*2))))*H25)/(7*12))*(1+L25)</f>
        <v>#DIV/0!</v>
      </c>
      <c r="N25" s="174" t="e">
        <f t="shared" si="16"/>
        <v>#DIV/0!</v>
      </c>
    </row>
    <row r="26" spans="2:15" ht="20.25" thickBot="1" x14ac:dyDescent="0.3">
      <c r="C26" s="6" t="s">
        <v>171</v>
      </c>
      <c r="D26" s="114" t="s">
        <v>75</v>
      </c>
      <c r="E26" s="55"/>
      <c r="F26" s="55"/>
      <c r="G26" s="59"/>
      <c r="H26" s="55"/>
      <c r="I26" s="70" t="e">
        <f t="shared" si="11"/>
        <v>#DIV/0!</v>
      </c>
      <c r="J26" s="165" t="e">
        <f t="shared" si="12"/>
        <v>#DIV/0!</v>
      </c>
      <c r="K26" s="69" t="e">
        <f t="shared" si="13"/>
        <v>#DIV/0!</v>
      </c>
      <c r="L26" s="172" t="e">
        <f t="shared" si="14"/>
        <v>#DIV/0!</v>
      </c>
      <c r="M26" s="173" t="e">
        <f>(((((((E26/G26)+1)*(F26))+((((E26/G26)+1))*(15*0.016*2)))+((((F26/G26)+1)*(E26))+(((F26/G26)+1)*(15*0.016*2))))*H26)/(5*12))*(1+L26)</f>
        <v>#DIV/0!</v>
      </c>
      <c r="N26" s="174" t="e">
        <f t="shared" si="16"/>
        <v>#DIV/0!</v>
      </c>
    </row>
    <row r="27" spans="2:15" ht="20.25" thickBot="1" x14ac:dyDescent="0.3">
      <c r="C27" s="125" t="s">
        <v>172</v>
      </c>
      <c r="D27" s="121" t="s">
        <v>322</v>
      </c>
      <c r="E27" s="57"/>
      <c r="F27" s="57"/>
      <c r="G27" s="83"/>
      <c r="H27" s="57"/>
      <c r="I27" s="169" t="e">
        <f t="shared" si="11"/>
        <v>#DIV/0!</v>
      </c>
      <c r="J27" s="170" t="e">
        <f t="shared" si="12"/>
        <v>#DIV/0!</v>
      </c>
      <c r="K27" s="175" t="e">
        <f t="shared" si="13"/>
        <v>#DIV/0!</v>
      </c>
      <c r="L27" s="176" t="e">
        <f t="shared" si="14"/>
        <v>#DIV/0!</v>
      </c>
      <c r="M27" s="177" t="e">
        <f>(((((((E27/G27)+1)*(F27))+((((E27/G27)+1))*(15*0.02*2)))+((((F27/G27)+1)*(E27))+(((F27/G27)+1)*(15*0.02*2))))*H27)/(3*12))*(1+L27)</f>
        <v>#DIV/0!</v>
      </c>
      <c r="N27" s="178" t="e">
        <f t="shared" si="16"/>
        <v>#DIV/0!</v>
      </c>
    </row>
    <row r="28" spans="2:15" x14ac:dyDescent="0.25">
      <c r="E28" s="148"/>
      <c r="F28" s="148"/>
      <c r="G28" s="148"/>
      <c r="H28" s="148"/>
      <c r="I28" s="184"/>
      <c r="J28" s="184"/>
      <c r="K28" s="184"/>
      <c r="L28" s="185"/>
      <c r="M28" s="184"/>
      <c r="N28" s="184"/>
    </row>
    <row r="29" spans="2:15" ht="15.75" thickBot="1" x14ac:dyDescent="0.3">
      <c r="I29" s="184"/>
      <c r="J29" s="184"/>
      <c r="K29" s="184"/>
      <c r="L29" s="184"/>
      <c r="M29" s="184"/>
      <c r="N29" s="184"/>
    </row>
    <row r="30" spans="2:15" ht="20.25" thickBot="1" x14ac:dyDescent="0.3">
      <c r="I30" s="184"/>
      <c r="J30" s="184"/>
      <c r="K30" s="184"/>
      <c r="L30" s="186" t="s">
        <v>0</v>
      </c>
      <c r="M30" s="186" t="s">
        <v>349</v>
      </c>
      <c r="N30" s="186" t="s">
        <v>349</v>
      </c>
    </row>
    <row r="31" spans="2:15" ht="27.75" thickBot="1" x14ac:dyDescent="0.4">
      <c r="D31" s="151" t="s">
        <v>397</v>
      </c>
      <c r="E31" s="151"/>
      <c r="F31" s="151"/>
      <c r="G31" s="151"/>
      <c r="H31" s="152"/>
      <c r="I31" s="187"/>
      <c r="J31" s="187"/>
      <c r="K31" s="184"/>
      <c r="L31" s="188" t="s">
        <v>344</v>
      </c>
      <c r="M31" s="189" t="e">
        <f>M11+M17+M23</f>
        <v>#DIV/0!</v>
      </c>
      <c r="N31" s="190" t="e">
        <f>M31/10</f>
        <v>#DIV/0!</v>
      </c>
    </row>
    <row r="32" spans="2:15" ht="27.75" thickBot="1" x14ac:dyDescent="0.4">
      <c r="I32" s="184"/>
      <c r="J32" s="184"/>
      <c r="K32" s="184"/>
      <c r="L32" s="188" t="s">
        <v>348</v>
      </c>
      <c r="M32" s="189" t="e">
        <f>M12+M18+M24</f>
        <v>#DIV/0!</v>
      </c>
      <c r="N32" s="190" t="e">
        <f t="shared" ref="N32:N34" si="17">M32/10</f>
        <v>#DIV/0!</v>
      </c>
    </row>
    <row r="33" spans="9:14" ht="27.75" thickBot="1" x14ac:dyDescent="0.4">
      <c r="I33" s="184"/>
      <c r="J33" s="184"/>
      <c r="K33" s="184"/>
      <c r="L33" s="188" t="s">
        <v>345</v>
      </c>
      <c r="M33" s="189" t="e">
        <f>M13+M19+M25</f>
        <v>#DIV/0!</v>
      </c>
      <c r="N33" s="190" t="e">
        <f t="shared" si="17"/>
        <v>#DIV/0!</v>
      </c>
    </row>
    <row r="34" spans="9:14" ht="27.75" thickBot="1" x14ac:dyDescent="0.4">
      <c r="I34" s="184"/>
      <c r="J34" s="184"/>
      <c r="K34" s="184"/>
      <c r="L34" s="188" t="s">
        <v>346</v>
      </c>
      <c r="M34" s="189" t="e">
        <f>M14+M20+M26</f>
        <v>#DIV/0!</v>
      </c>
      <c r="N34" s="190" t="e">
        <f t="shared" si="17"/>
        <v>#DIV/0!</v>
      </c>
    </row>
    <row r="35" spans="9:14" ht="27.75" thickBot="1" x14ac:dyDescent="0.4">
      <c r="I35" s="184"/>
      <c r="J35" s="184"/>
      <c r="K35" s="184"/>
      <c r="L35" s="188" t="s">
        <v>347</v>
      </c>
      <c r="M35" s="189" t="e">
        <f>M15+M21+M27</f>
        <v>#DIV/0!</v>
      </c>
      <c r="N35" s="190" t="e">
        <f>M35/10</f>
        <v>#DIV/0!</v>
      </c>
    </row>
  </sheetData>
  <sheetProtection algorithmName="SHA-512" hashValue="vNucStQRbhPgz/XRdL0JxCdtheq0dQhHx6buDfruTdDPM/lzdeo6piyYfWlppmOTx0CKcZZa42itkG+odMJMQg==" saltValue="OfRPc6SfYWw8QvgcPjcXXQ==" spinCount="100000" sheet="1" objects="1" scenarios="1"/>
  <mergeCells count="1">
    <mergeCell ref="C9:C10"/>
  </mergeCells>
  <pageMargins left="0.7" right="0.7" top="0.75" bottom="0.75" header="0.3" footer="0.3"/>
  <ignoredErrors>
    <ignoredError sqref="I11:L11 I12:I15 J12:J15 K12:K15 L12:L15 I17:I21 I23:I27 J17:J21 J23:J27 K17:K21 L17:L21 L23:L27 K23:K27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6"/>
  <sheetViews>
    <sheetView zoomScale="70" zoomScaleNormal="70" workbookViewId="0">
      <selection activeCell="M15" sqref="M15"/>
    </sheetView>
  </sheetViews>
  <sheetFormatPr baseColWidth="10" defaultColWidth="10.7109375" defaultRowHeight="15" x14ac:dyDescent="0.25"/>
  <cols>
    <col min="3" max="3" width="25.7109375" customWidth="1"/>
    <col min="4" max="4" width="17.42578125" customWidth="1"/>
    <col min="5" max="5" width="21.7109375" customWidth="1"/>
    <col min="6" max="6" width="17.42578125" customWidth="1"/>
    <col min="7" max="7" width="23.5703125" customWidth="1"/>
    <col min="8" max="8" width="26.7109375" customWidth="1"/>
    <col min="9" max="10" width="20.5703125" customWidth="1"/>
    <col min="11" max="11" width="17.85546875" customWidth="1"/>
  </cols>
  <sheetData>
    <row r="3" spans="3:14" ht="18.75" x14ac:dyDescent="0.3">
      <c r="D3" s="133" t="s">
        <v>343</v>
      </c>
      <c r="E3" s="133"/>
      <c r="F3" s="141"/>
      <c r="G3" s="141"/>
    </row>
    <row r="5" spans="3:14" ht="21" x14ac:dyDescent="0.35">
      <c r="E5" s="162" t="s">
        <v>414</v>
      </c>
      <c r="F5" s="162"/>
      <c r="G5" s="162"/>
      <c r="H5" s="162"/>
      <c r="N5">
        <f>15-12</f>
        <v>3</v>
      </c>
    </row>
    <row r="7" spans="3:14" ht="19.5" x14ac:dyDescent="0.25">
      <c r="D7" s="20" t="s">
        <v>45</v>
      </c>
      <c r="E7" s="103"/>
      <c r="N7">
        <f>11-12</f>
        <v>-1</v>
      </c>
    </row>
    <row r="8" spans="3:14" ht="21.75" thickBot="1" x14ac:dyDescent="0.4">
      <c r="C8" s="19" t="s">
        <v>48</v>
      </c>
      <c r="E8" s="1"/>
      <c r="F8" s="21" t="s">
        <v>46</v>
      </c>
      <c r="H8" s="1"/>
      <c r="I8" s="1"/>
      <c r="J8" s="1"/>
      <c r="K8" s="1"/>
    </row>
    <row r="9" spans="3:14" ht="19.5" x14ac:dyDescent="0.25">
      <c r="C9" s="191" t="s">
        <v>0</v>
      </c>
      <c r="D9" s="25" t="s">
        <v>33</v>
      </c>
      <c r="E9" s="9" t="s">
        <v>2</v>
      </c>
      <c r="F9" s="12" t="s">
        <v>4</v>
      </c>
      <c r="G9" s="12" t="s">
        <v>314</v>
      </c>
      <c r="H9" s="12" t="s">
        <v>29</v>
      </c>
      <c r="I9" s="12" t="s">
        <v>14</v>
      </c>
      <c r="J9" s="14" t="s">
        <v>5</v>
      </c>
      <c r="K9" s="14" t="s">
        <v>5</v>
      </c>
    </row>
    <row r="10" spans="3:14" ht="20.25" thickBot="1" x14ac:dyDescent="0.3">
      <c r="C10" s="192"/>
      <c r="D10" s="26" t="s">
        <v>34</v>
      </c>
      <c r="E10" s="10" t="s">
        <v>25</v>
      </c>
      <c r="F10" s="13" t="s">
        <v>25</v>
      </c>
      <c r="G10" s="13" t="s">
        <v>392</v>
      </c>
      <c r="H10" s="13" t="s">
        <v>393</v>
      </c>
      <c r="I10" s="13" t="s">
        <v>26</v>
      </c>
      <c r="J10" s="15" t="s">
        <v>31</v>
      </c>
      <c r="K10" s="15" t="s">
        <v>32</v>
      </c>
    </row>
    <row r="11" spans="3:14" ht="20.25" thickBot="1" x14ac:dyDescent="0.3">
      <c r="C11" s="6" t="s">
        <v>329</v>
      </c>
      <c r="D11" s="114" t="s">
        <v>76</v>
      </c>
      <c r="E11" s="55"/>
      <c r="F11" s="55"/>
      <c r="G11" s="55"/>
      <c r="H11" s="59"/>
      <c r="I11" s="55"/>
      <c r="J11" s="30" t="e">
        <f>(((E11*G11*I11)+(((E11/H11)+1)*F11)+(((E11/H11)+1)*(15*0.01*2)))/(14*12))*1.1</f>
        <v>#DIV/0!</v>
      </c>
      <c r="K11" s="30" t="e">
        <f>J11/10</f>
        <v>#DIV/0!</v>
      </c>
    </row>
    <row r="12" spans="3:14" ht="20.25" thickBot="1" x14ac:dyDescent="0.3">
      <c r="C12" s="6" t="s">
        <v>330</v>
      </c>
      <c r="D12" s="114" t="s">
        <v>38</v>
      </c>
      <c r="E12" s="55"/>
      <c r="F12" s="55"/>
      <c r="G12" s="55"/>
      <c r="H12" s="59"/>
      <c r="I12" s="55"/>
      <c r="J12" s="30" t="e">
        <f>(((E12*G12*I12)+(((E12/H12)+1)*F12)+(((E12/H12)+1)*(15*0.012*2)))/(9*12))*1.1</f>
        <v>#DIV/0!</v>
      </c>
      <c r="K12" s="30" t="e">
        <f>J12/10</f>
        <v>#DIV/0!</v>
      </c>
    </row>
    <row r="13" spans="3:14" ht="20.25" thickBot="1" x14ac:dyDescent="0.3">
      <c r="C13" s="6" t="s">
        <v>331</v>
      </c>
      <c r="D13" s="114" t="s">
        <v>41</v>
      </c>
      <c r="E13" s="55"/>
      <c r="F13" s="55"/>
      <c r="G13" s="55"/>
      <c r="H13" s="59"/>
      <c r="I13" s="55"/>
      <c r="J13" s="30" t="e">
        <f>(((E13*G13*I13)+(((E13/H13)+1)*F13)+(((E13/H13)+1)*(15*0.014*2)))/(7*12))*1.1</f>
        <v>#DIV/0!</v>
      </c>
      <c r="K13" s="30" t="e">
        <f>J13/10</f>
        <v>#DIV/0!</v>
      </c>
    </row>
    <row r="14" spans="3:14" ht="20.25" thickBot="1" x14ac:dyDescent="0.3">
      <c r="C14" s="6" t="s">
        <v>332</v>
      </c>
      <c r="D14" s="114" t="s">
        <v>75</v>
      </c>
      <c r="E14" s="55"/>
      <c r="F14" s="55"/>
      <c r="G14" s="55"/>
      <c r="H14" s="59"/>
      <c r="I14" s="55"/>
      <c r="J14" s="30" t="e">
        <f>(((E14*G14*I14)+(((E14/H14)+1)*F14)+(((E14/H14)+1)*(15*0.016*2)))/(5*12))*1.1</f>
        <v>#DIV/0!</v>
      </c>
      <c r="K14" s="30" t="e">
        <f t="shared" ref="K14:K15" si="0">J14/10</f>
        <v>#DIV/0!</v>
      </c>
    </row>
    <row r="15" spans="3:14" ht="20.25" thickBot="1" x14ac:dyDescent="0.3">
      <c r="C15" s="125" t="s">
        <v>333</v>
      </c>
      <c r="D15" s="121" t="s">
        <v>322</v>
      </c>
      <c r="E15" s="122"/>
      <c r="F15" s="122"/>
      <c r="G15" s="55"/>
      <c r="H15" s="123"/>
      <c r="I15" s="122"/>
      <c r="J15" s="30" t="e">
        <f>(((E15*G15*I15)+(((E15/H15)+1)*F15)+(((E15/H15)+1)*(15*0.02*2)))/(3*12))*1.1</f>
        <v>#DIV/0!</v>
      </c>
      <c r="K15" s="124" t="e">
        <f t="shared" si="0"/>
        <v>#DIV/0!</v>
      </c>
    </row>
    <row r="16" spans="3:14" ht="20.25" thickBot="1" x14ac:dyDescent="0.3">
      <c r="C16" s="137"/>
      <c r="D16" s="138"/>
      <c r="E16" s="136"/>
      <c r="F16" s="136"/>
      <c r="G16" s="136"/>
      <c r="H16" s="139"/>
      <c r="I16" s="136"/>
      <c r="J16" s="136"/>
      <c r="K16" s="136"/>
      <c r="L16" s="16"/>
    </row>
    <row r="17" spans="3:12" ht="20.25" thickBot="1" x14ac:dyDescent="0.3">
      <c r="C17" s="6" t="s">
        <v>329</v>
      </c>
      <c r="D17" s="114" t="s">
        <v>76</v>
      </c>
      <c r="E17" s="55"/>
      <c r="F17" s="55"/>
      <c r="G17" s="55"/>
      <c r="H17" s="59"/>
      <c r="I17" s="55"/>
      <c r="J17" s="30" t="e">
        <f>(((E17*G17*I17)+(((E17/H17)+1)*F17)+(((E17/H17)+1)*(15*0.01*2)))/(14*12))*1.1</f>
        <v>#DIV/0!</v>
      </c>
      <c r="K17" s="30" t="e">
        <f>J17/10</f>
        <v>#DIV/0!</v>
      </c>
    </row>
    <row r="18" spans="3:12" ht="20.25" thickBot="1" x14ac:dyDescent="0.3">
      <c r="C18" s="6" t="s">
        <v>330</v>
      </c>
      <c r="D18" s="114" t="s">
        <v>38</v>
      </c>
      <c r="E18" s="55"/>
      <c r="F18" s="55"/>
      <c r="G18" s="55"/>
      <c r="H18" s="59"/>
      <c r="I18" s="55"/>
      <c r="J18" s="30" t="e">
        <f>(((E18*G18*I18)+(((E18/H18)+1)*F18)+(((E18/H18)+1)*(15*0.012*2)))/(9*12))*1.1</f>
        <v>#DIV/0!</v>
      </c>
      <c r="K18" s="30" t="e">
        <f>J18/10</f>
        <v>#DIV/0!</v>
      </c>
    </row>
    <row r="19" spans="3:12" ht="20.25" thickBot="1" x14ac:dyDescent="0.3">
      <c r="C19" s="6" t="s">
        <v>331</v>
      </c>
      <c r="D19" s="114" t="s">
        <v>41</v>
      </c>
      <c r="E19" s="55"/>
      <c r="F19" s="55"/>
      <c r="G19" s="55"/>
      <c r="H19" s="59"/>
      <c r="I19" s="55"/>
      <c r="J19" s="30" t="e">
        <f>(((E19*G19*I19)+(((E19/H19)+1)*F19)+(((E19/H19)+1)*(15*0.014*2)))/(7*12))*1.1</f>
        <v>#DIV/0!</v>
      </c>
      <c r="K19" s="30" t="e">
        <f>J19/10</f>
        <v>#DIV/0!</v>
      </c>
    </row>
    <row r="20" spans="3:12" ht="20.25" thickBot="1" x14ac:dyDescent="0.3">
      <c r="C20" s="6" t="s">
        <v>332</v>
      </c>
      <c r="D20" s="114" t="s">
        <v>75</v>
      </c>
      <c r="E20" s="55"/>
      <c r="F20" s="55"/>
      <c r="G20" s="55"/>
      <c r="H20" s="59"/>
      <c r="I20" s="55"/>
      <c r="J20" s="30" t="e">
        <f>(((E20*G20*I20)+(((E20/H20)+1)*F20)+(((E20/H20)+1)*(15*0.016*2)))/(5*12))*1.1</f>
        <v>#DIV/0!</v>
      </c>
      <c r="K20" s="30" t="e">
        <f t="shared" ref="K20:K21" si="1">J20/10</f>
        <v>#DIV/0!</v>
      </c>
    </row>
    <row r="21" spans="3:12" ht="20.25" thickBot="1" x14ac:dyDescent="0.3">
      <c r="C21" s="125" t="s">
        <v>333</v>
      </c>
      <c r="D21" s="121" t="s">
        <v>322</v>
      </c>
      <c r="E21" s="122"/>
      <c r="F21" s="122"/>
      <c r="G21" s="55"/>
      <c r="H21" s="123"/>
      <c r="I21" s="122"/>
      <c r="J21" s="30" t="e">
        <f>(((E21*G21*I21)+(((E21/H21)+1)*F21)+(((E21/H21)+1)*(15*0.02*2)))/(3*12))*1.1</f>
        <v>#DIV/0!</v>
      </c>
      <c r="K21" s="124" t="e">
        <f t="shared" si="1"/>
        <v>#DIV/0!</v>
      </c>
    </row>
    <row r="22" spans="3:12" ht="20.25" thickBot="1" x14ac:dyDescent="0.3">
      <c r="C22" s="137"/>
      <c r="D22" s="138"/>
      <c r="E22" s="136"/>
      <c r="F22" s="136"/>
      <c r="G22" s="136"/>
      <c r="H22" s="139"/>
      <c r="I22" s="136"/>
      <c r="J22" s="136"/>
      <c r="K22" s="136"/>
      <c r="L22" s="16"/>
    </row>
    <row r="23" spans="3:12" ht="20.25" thickBot="1" x14ac:dyDescent="0.3">
      <c r="C23" s="6" t="s">
        <v>329</v>
      </c>
      <c r="D23" s="114" t="s">
        <v>76</v>
      </c>
      <c r="E23" s="55"/>
      <c r="F23" s="55"/>
      <c r="G23" s="55"/>
      <c r="H23" s="59"/>
      <c r="I23" s="55"/>
      <c r="J23" s="30" t="e">
        <f>(((E23*G23*I23)+(((E23/H23)+1)*F23)+(((E23/H23)+1)*(15*0.01*2)))/(14*12))*1.1</f>
        <v>#DIV/0!</v>
      </c>
      <c r="K23" s="30" t="e">
        <f>J23/10</f>
        <v>#DIV/0!</v>
      </c>
    </row>
    <row r="24" spans="3:12" ht="20.25" thickBot="1" x14ac:dyDescent="0.3">
      <c r="C24" s="6" t="s">
        <v>330</v>
      </c>
      <c r="D24" s="114" t="s">
        <v>38</v>
      </c>
      <c r="E24" s="55"/>
      <c r="F24" s="55"/>
      <c r="G24" s="55"/>
      <c r="H24" s="59"/>
      <c r="I24" s="55"/>
      <c r="J24" s="30" t="e">
        <f>(((E24*G24*I24)+(((E24/H24)+1)*F24)+(((E24/H24)+1)*(15*0.012*2)))/(9*12))*1.1</f>
        <v>#DIV/0!</v>
      </c>
      <c r="K24" s="30" t="e">
        <f>J24/10</f>
        <v>#DIV/0!</v>
      </c>
    </row>
    <row r="25" spans="3:12" ht="20.25" thickBot="1" x14ac:dyDescent="0.3">
      <c r="C25" s="6" t="s">
        <v>331</v>
      </c>
      <c r="D25" s="114" t="s">
        <v>41</v>
      </c>
      <c r="E25" s="55"/>
      <c r="F25" s="55"/>
      <c r="G25" s="55"/>
      <c r="H25" s="59"/>
      <c r="I25" s="55"/>
      <c r="J25" s="30" t="e">
        <f>(((E25*G25*I25)+(((E25/H25)+1)*F25)+(((E25/H25)+1)*(15*0.014*2)))/(7*12))*1.1</f>
        <v>#DIV/0!</v>
      </c>
      <c r="K25" s="30" t="e">
        <f>J25/10</f>
        <v>#DIV/0!</v>
      </c>
    </row>
    <row r="26" spans="3:12" ht="20.25" thickBot="1" x14ac:dyDescent="0.3">
      <c r="C26" s="6" t="s">
        <v>332</v>
      </c>
      <c r="D26" s="114" t="s">
        <v>75</v>
      </c>
      <c r="E26" s="55"/>
      <c r="F26" s="55"/>
      <c r="G26" s="55"/>
      <c r="H26" s="59"/>
      <c r="I26" s="55"/>
      <c r="J26" s="30" t="e">
        <f>(((E26*G26*I26)+(((E26/H26)+1)*F26)+(((E26/H26)+1)*(15*0.016*2)))/(5*12))*1.1</f>
        <v>#DIV/0!</v>
      </c>
      <c r="K26" s="30" t="e">
        <f t="shared" ref="K26:K27" si="2">J26/10</f>
        <v>#DIV/0!</v>
      </c>
    </row>
    <row r="27" spans="3:12" ht="20.25" thickBot="1" x14ac:dyDescent="0.3">
      <c r="C27" s="6" t="s">
        <v>333</v>
      </c>
      <c r="D27" s="121" t="s">
        <v>322</v>
      </c>
      <c r="E27" s="122"/>
      <c r="F27" s="122"/>
      <c r="G27" s="55"/>
      <c r="H27" s="123"/>
      <c r="I27" s="122"/>
      <c r="J27" s="30" t="e">
        <f>(((E27*G27*I27)+(((E27/H27)+1)*F27)+(((E27/H27)+1)*(15*0.02*2)))/(3*12))*1.1</f>
        <v>#DIV/0!</v>
      </c>
      <c r="K27" s="124" t="e">
        <f t="shared" si="2"/>
        <v>#DIV/0!</v>
      </c>
    </row>
    <row r="29" spans="3:12" ht="15.75" thickBot="1" x14ac:dyDescent="0.3"/>
    <row r="30" spans="3:12" ht="19.899999999999999" customHeight="1" thickBot="1" x14ac:dyDescent="0.3">
      <c r="I30" s="112" t="s">
        <v>0</v>
      </c>
      <c r="J30" s="112" t="s">
        <v>349</v>
      </c>
      <c r="K30" s="112" t="s">
        <v>349</v>
      </c>
    </row>
    <row r="31" spans="3:12" ht="19.899999999999999" customHeight="1" thickBot="1" x14ac:dyDescent="0.4">
      <c r="I31" s="111" t="s">
        <v>344</v>
      </c>
      <c r="J31" s="110" t="e">
        <f>J11+J17+J23</f>
        <v>#DIV/0!</v>
      </c>
      <c r="K31" s="109" t="e">
        <f>J31/10</f>
        <v>#DIV/0!</v>
      </c>
    </row>
    <row r="32" spans="3:12" ht="19.899999999999999" customHeight="1" thickBot="1" x14ac:dyDescent="0.4">
      <c r="I32" s="111" t="s">
        <v>348</v>
      </c>
      <c r="J32" s="110" t="e">
        <f>J12+J18+J24</f>
        <v>#DIV/0!</v>
      </c>
      <c r="K32" s="109" t="e">
        <f t="shared" ref="K32:K34" si="3">J32/10</f>
        <v>#DIV/0!</v>
      </c>
    </row>
    <row r="33" spans="9:11" ht="19.899999999999999" customHeight="1" thickBot="1" x14ac:dyDescent="0.4">
      <c r="I33" s="111" t="s">
        <v>345</v>
      </c>
      <c r="J33" s="110" t="e">
        <f>J13+J19+J25</f>
        <v>#DIV/0!</v>
      </c>
      <c r="K33" s="109" t="e">
        <f t="shared" si="3"/>
        <v>#DIV/0!</v>
      </c>
    </row>
    <row r="34" spans="9:11" ht="19.899999999999999" customHeight="1" thickBot="1" x14ac:dyDescent="0.4">
      <c r="I34" s="111" t="s">
        <v>346</v>
      </c>
      <c r="J34" s="110" t="e">
        <f>J14+J20+J26</f>
        <v>#DIV/0!</v>
      </c>
      <c r="K34" s="109" t="e">
        <f t="shared" si="3"/>
        <v>#DIV/0!</v>
      </c>
    </row>
    <row r="35" spans="9:11" ht="19.899999999999999" customHeight="1" thickBot="1" x14ac:dyDescent="0.4">
      <c r="I35" s="111" t="s">
        <v>347</v>
      </c>
      <c r="J35" s="110" t="e">
        <f>J15+J21+J27</f>
        <v>#DIV/0!</v>
      </c>
      <c r="K35" s="109" t="e">
        <f>J35/10</f>
        <v>#DIV/0!</v>
      </c>
    </row>
    <row r="36" spans="9:11" ht="19.899999999999999" customHeight="1" x14ac:dyDescent="0.25"/>
  </sheetData>
  <sheetProtection algorithmName="SHA-512" hashValue="g4deB9Brjz7pqMqdGVkHO+/bqnUbrdjOkvpIe7WgVfYq6IY26qMa9v3YjOPc3ICNNqUCHhap9e4brVDpGyRuyg==" saltValue="gzzLddK9cb0Vf9vD+zLpdg==" spinCount="100000" sheet="1" objects="1" scenarios="1"/>
  <mergeCells count="1">
    <mergeCell ref="C9:C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AF102"/>
  <sheetViews>
    <sheetView topLeftCell="B16" zoomScale="66" zoomScaleNormal="66" workbookViewId="0">
      <selection activeCell="H18" sqref="H18:K18"/>
    </sheetView>
  </sheetViews>
  <sheetFormatPr baseColWidth="10" defaultColWidth="8.85546875" defaultRowHeight="15" x14ac:dyDescent="0.25"/>
  <cols>
    <col min="6" max="6" width="2.85546875" customWidth="1"/>
    <col min="7" max="7" width="25.7109375" customWidth="1"/>
    <col min="8" max="8" width="17.42578125" customWidth="1"/>
    <col min="9" max="9" width="25.85546875" customWidth="1"/>
    <col min="10" max="10" width="18.85546875" customWidth="1"/>
    <col min="11" max="11" width="17" customWidth="1"/>
    <col min="12" max="12" width="22.28515625" customWidth="1"/>
    <col min="13" max="13" width="21.42578125" customWidth="1"/>
    <col min="14" max="14" width="20.5703125" customWidth="1"/>
    <col min="15" max="15" width="25.42578125" customWidth="1"/>
    <col min="16" max="16" width="25.140625" customWidth="1"/>
    <col min="17" max="17" width="24.140625" customWidth="1"/>
    <col min="18" max="18" width="19.5703125" customWidth="1"/>
    <col min="19" max="19" width="14.5703125" customWidth="1"/>
    <col min="20" max="20" width="20.5703125" customWidth="1"/>
    <col min="21" max="21" width="24" customWidth="1"/>
    <col min="22" max="22" width="18" customWidth="1"/>
    <col min="23" max="27" width="20.5703125" customWidth="1"/>
    <col min="28" max="28" width="18.42578125" customWidth="1"/>
    <col min="29" max="29" width="23" customWidth="1"/>
    <col min="30" max="30" width="24.7109375" customWidth="1"/>
    <col min="31" max="31" width="22.140625" customWidth="1"/>
    <col min="32" max="32" width="16.85546875" customWidth="1"/>
    <col min="33" max="33" width="2.7109375" customWidth="1"/>
  </cols>
  <sheetData>
    <row r="4" spans="6:32" ht="19.5" x14ac:dyDescent="0.25">
      <c r="F4" s="1"/>
      <c r="K4" s="2"/>
      <c r="L4" s="2"/>
      <c r="AD4" s="2"/>
      <c r="AE4" s="1"/>
    </row>
    <row r="5" spans="6:32" ht="19.5" x14ac:dyDescent="0.25">
      <c r="AE5" s="1"/>
      <c r="AF5" s="1"/>
    </row>
    <row r="6" spans="6:32" ht="19.5" x14ac:dyDescent="0.25"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F6" s="2"/>
    </row>
    <row r="7" spans="6:32" ht="19.5" x14ac:dyDescent="0.25">
      <c r="F7" s="1"/>
      <c r="J7" s="1"/>
      <c r="K7" s="1"/>
      <c r="L7" s="1"/>
      <c r="M7" s="1"/>
      <c r="N7" s="1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E7" s="2"/>
    </row>
    <row r="8" spans="6:32" ht="19.5" x14ac:dyDescent="0.25">
      <c r="F8" s="1"/>
      <c r="J8" s="1"/>
      <c r="K8" s="1"/>
      <c r="L8" s="1"/>
      <c r="M8" s="1"/>
      <c r="N8" s="1"/>
      <c r="O8" s="17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E8" s="2"/>
    </row>
    <row r="9" spans="6:32" ht="23.25" x14ac:dyDescent="0.35">
      <c r="F9" s="1"/>
      <c r="J9" s="1"/>
      <c r="K9" s="158" t="s">
        <v>400</v>
      </c>
      <c r="L9" s="158"/>
      <c r="M9" s="158"/>
      <c r="N9" s="159"/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2"/>
      <c r="AC9" s="2"/>
      <c r="AE9" s="2"/>
    </row>
    <row r="10" spans="6:32" ht="19.5" x14ac:dyDescent="0.25">
      <c r="F10" s="1"/>
      <c r="G10" s="2"/>
      <c r="H10" s="2"/>
      <c r="I10" s="17"/>
      <c r="J10" s="1"/>
      <c r="K10" s="1"/>
      <c r="L10" s="1"/>
      <c r="M10" s="1"/>
      <c r="N10" s="1"/>
      <c r="O10" s="1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E10" s="2"/>
    </row>
    <row r="11" spans="6:32" ht="19.5" x14ac:dyDescent="0.25">
      <c r="F11" s="2"/>
      <c r="G11" s="2"/>
      <c r="H11" s="2"/>
      <c r="I11" s="2"/>
      <c r="J11" s="1"/>
      <c r="K11" s="1"/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E11" s="1"/>
    </row>
    <row r="12" spans="6:32" ht="23.25" x14ac:dyDescent="0.35">
      <c r="F12" s="1"/>
      <c r="G12" s="1"/>
      <c r="H12" s="96" t="s">
        <v>365</v>
      </c>
      <c r="I12" s="96"/>
      <c r="J12" s="9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E12" s="1"/>
    </row>
    <row r="13" spans="6:32" ht="19.5" x14ac:dyDescent="0.25">
      <c r="F13" s="1"/>
      <c r="G13" s="1"/>
      <c r="H13" s="1"/>
      <c r="I13" s="1"/>
      <c r="J13" s="1"/>
      <c r="K13" s="3"/>
      <c r="L13" s="3"/>
      <c r="M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E13" s="1"/>
    </row>
    <row r="14" spans="6:32" ht="22.5" x14ac:dyDescent="0.3">
      <c r="F14" s="1"/>
      <c r="G14" s="1"/>
      <c r="H14" s="98" t="s">
        <v>45</v>
      </c>
      <c r="I14" s="20"/>
      <c r="J14" s="1"/>
      <c r="K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6:32" ht="20.25" thickBot="1" x14ac:dyDescent="0.3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6:32" ht="19.5" x14ac:dyDescent="0.25">
      <c r="F16" s="1"/>
      <c r="G16" s="191" t="s">
        <v>0</v>
      </c>
      <c r="H16" s="9" t="s">
        <v>2</v>
      </c>
      <c r="I16" s="9" t="s">
        <v>4</v>
      </c>
      <c r="J16" s="9" t="s">
        <v>19</v>
      </c>
      <c r="K16" s="12" t="s">
        <v>14</v>
      </c>
      <c r="L16" s="50" t="s">
        <v>60</v>
      </c>
      <c r="M16" s="50" t="s">
        <v>60</v>
      </c>
      <c r="N16" s="50" t="s">
        <v>60</v>
      </c>
      <c r="O16" s="45" t="s">
        <v>60</v>
      </c>
      <c r="P16" s="45" t="s">
        <v>60</v>
      </c>
      <c r="Q16" s="45" t="s">
        <v>60</v>
      </c>
      <c r="R16" s="11"/>
    </row>
    <row r="17" spans="6:23" ht="23.25" thickBot="1" x14ac:dyDescent="0.3">
      <c r="F17" s="1"/>
      <c r="G17" s="192"/>
      <c r="H17" s="10" t="s">
        <v>59</v>
      </c>
      <c r="I17" s="10" t="s">
        <v>18</v>
      </c>
      <c r="J17" s="10" t="s">
        <v>18</v>
      </c>
      <c r="K17" s="10" t="s">
        <v>18</v>
      </c>
      <c r="L17" s="51" t="s">
        <v>61</v>
      </c>
      <c r="M17" s="51" t="s">
        <v>70</v>
      </c>
      <c r="N17" s="51" t="s">
        <v>71</v>
      </c>
      <c r="O17" s="46" t="s">
        <v>62</v>
      </c>
      <c r="P17" s="46" t="s">
        <v>334</v>
      </c>
      <c r="Q17" s="47" t="s">
        <v>335</v>
      </c>
    </row>
    <row r="18" spans="6:23" ht="55.9" customHeight="1" thickBot="1" x14ac:dyDescent="0.3">
      <c r="F18" s="4"/>
      <c r="G18" s="7" t="s">
        <v>128</v>
      </c>
      <c r="H18" s="55"/>
      <c r="I18" s="55"/>
      <c r="J18" s="55"/>
      <c r="K18" s="55"/>
      <c r="L18" s="53">
        <f>(((H18*I18*J18*K18)*350)/50)*1.05</f>
        <v>0</v>
      </c>
      <c r="M18" s="53">
        <f>H18*I18*J18*K18*0.8*1.05</f>
        <v>0</v>
      </c>
      <c r="N18" s="53">
        <f>H18*I18*J18*K18*0.4*1.05</f>
        <v>0</v>
      </c>
      <c r="O18" s="54">
        <f t="shared" ref="O18:O27" si="0">L18/20</f>
        <v>0</v>
      </c>
      <c r="P18" s="54">
        <f>(M18*1700)/1000</f>
        <v>0</v>
      </c>
      <c r="Q18" s="54">
        <f>(N18*1600)/1000</f>
        <v>0</v>
      </c>
      <c r="S18" s="5"/>
    </row>
    <row r="19" spans="6:23" ht="55.9" customHeight="1" thickBot="1" x14ac:dyDescent="0.3">
      <c r="F19" s="4"/>
      <c r="G19" s="7" t="s">
        <v>129</v>
      </c>
      <c r="H19" s="55"/>
      <c r="I19" s="55"/>
      <c r="J19" s="55"/>
      <c r="K19" s="55"/>
      <c r="L19" s="53">
        <f t="shared" ref="L19:L27" si="1">(((H19*I19*J19*K19)*350)/50)*1.05</f>
        <v>0</v>
      </c>
      <c r="M19" s="53">
        <f t="shared" ref="M19:M27" si="2">H19*I19*J19*K19*0.8*1.05</f>
        <v>0</v>
      </c>
      <c r="N19" s="53">
        <f t="shared" ref="N19:N27" si="3">H19*I19*J19*K19*0.4*1.05</f>
        <v>0</v>
      </c>
      <c r="O19" s="54">
        <f t="shared" si="0"/>
        <v>0</v>
      </c>
      <c r="P19" s="54">
        <f t="shared" ref="P19:P27" si="4">(M19*1700)/1000</f>
        <v>0</v>
      </c>
      <c r="Q19" s="54">
        <f t="shared" ref="Q19:Q27" si="5">(N19*1600)/1000</f>
        <v>0</v>
      </c>
      <c r="R19" s="1"/>
      <c r="U19" s="5"/>
    </row>
    <row r="20" spans="6:23" ht="55.9" customHeight="1" thickBot="1" x14ac:dyDescent="0.3">
      <c r="F20" s="4"/>
      <c r="G20" s="7" t="s">
        <v>130</v>
      </c>
      <c r="H20" s="55"/>
      <c r="I20" s="55"/>
      <c r="J20" s="55"/>
      <c r="K20" s="55"/>
      <c r="L20" s="53">
        <f t="shared" si="1"/>
        <v>0</v>
      </c>
      <c r="M20" s="53">
        <f t="shared" si="2"/>
        <v>0</v>
      </c>
      <c r="N20" s="53">
        <f t="shared" si="3"/>
        <v>0</v>
      </c>
      <c r="O20" s="54">
        <f t="shared" si="0"/>
        <v>0</v>
      </c>
      <c r="P20" s="54">
        <f t="shared" si="4"/>
        <v>0</v>
      </c>
      <c r="Q20" s="54">
        <f t="shared" si="5"/>
        <v>0</v>
      </c>
      <c r="R20" s="1"/>
      <c r="U20" s="5"/>
    </row>
    <row r="21" spans="6:23" ht="55.9" customHeight="1" thickBot="1" x14ac:dyDescent="0.3">
      <c r="F21" s="4"/>
      <c r="G21" s="7" t="s">
        <v>131</v>
      </c>
      <c r="H21" s="55"/>
      <c r="I21" s="55"/>
      <c r="J21" s="55"/>
      <c r="K21" s="55"/>
      <c r="L21" s="53">
        <f t="shared" si="1"/>
        <v>0</v>
      </c>
      <c r="M21" s="53">
        <f t="shared" si="2"/>
        <v>0</v>
      </c>
      <c r="N21" s="53">
        <f t="shared" si="3"/>
        <v>0</v>
      </c>
      <c r="O21" s="54">
        <f t="shared" si="0"/>
        <v>0</v>
      </c>
      <c r="P21" s="54">
        <f t="shared" si="4"/>
        <v>0</v>
      </c>
      <c r="Q21" s="54">
        <f t="shared" si="5"/>
        <v>0</v>
      </c>
      <c r="R21" s="2"/>
      <c r="U21" s="5"/>
    </row>
    <row r="22" spans="6:23" ht="55.9" customHeight="1" thickBot="1" x14ac:dyDescent="0.3">
      <c r="F22" s="4"/>
      <c r="G22" s="7" t="s">
        <v>132</v>
      </c>
      <c r="H22" s="55"/>
      <c r="I22" s="55"/>
      <c r="J22" s="55"/>
      <c r="K22" s="55"/>
      <c r="L22" s="53">
        <f t="shared" si="1"/>
        <v>0</v>
      </c>
      <c r="M22" s="53">
        <f t="shared" si="2"/>
        <v>0</v>
      </c>
      <c r="N22" s="53">
        <f t="shared" si="3"/>
        <v>0</v>
      </c>
      <c r="O22" s="54">
        <f t="shared" si="0"/>
        <v>0</v>
      </c>
      <c r="P22" s="54">
        <f t="shared" si="4"/>
        <v>0</v>
      </c>
      <c r="Q22" s="54">
        <f t="shared" si="5"/>
        <v>0</v>
      </c>
      <c r="R22" s="1"/>
      <c r="U22" s="16"/>
    </row>
    <row r="23" spans="6:23" ht="55.9" customHeight="1" thickBot="1" x14ac:dyDescent="0.3">
      <c r="F23" s="4"/>
      <c r="G23" s="7" t="s">
        <v>133</v>
      </c>
      <c r="H23" s="55"/>
      <c r="I23" s="55"/>
      <c r="J23" s="55"/>
      <c r="K23" s="55"/>
      <c r="L23" s="53">
        <f t="shared" si="1"/>
        <v>0</v>
      </c>
      <c r="M23" s="53">
        <f t="shared" si="2"/>
        <v>0</v>
      </c>
      <c r="N23" s="53">
        <f t="shared" si="3"/>
        <v>0</v>
      </c>
      <c r="O23" s="54">
        <f t="shared" si="0"/>
        <v>0</v>
      </c>
      <c r="P23" s="54">
        <f t="shared" si="4"/>
        <v>0</v>
      </c>
      <c r="Q23" s="54">
        <f t="shared" si="5"/>
        <v>0</v>
      </c>
    </row>
    <row r="24" spans="6:23" ht="55.9" customHeight="1" thickBot="1" x14ac:dyDescent="0.3">
      <c r="F24" s="4"/>
      <c r="G24" s="7" t="s">
        <v>134</v>
      </c>
      <c r="H24" s="55"/>
      <c r="I24" s="55"/>
      <c r="J24" s="55"/>
      <c r="K24" s="55"/>
      <c r="L24" s="53">
        <f t="shared" si="1"/>
        <v>0</v>
      </c>
      <c r="M24" s="53">
        <f t="shared" si="2"/>
        <v>0</v>
      </c>
      <c r="N24" s="53">
        <f t="shared" si="3"/>
        <v>0</v>
      </c>
      <c r="O24" s="54">
        <f t="shared" si="0"/>
        <v>0</v>
      </c>
      <c r="P24" s="54">
        <f t="shared" si="4"/>
        <v>0</v>
      </c>
      <c r="Q24" s="54">
        <f t="shared" si="5"/>
        <v>0</v>
      </c>
      <c r="R24">
        <f>2.85+0.35+50*0.016</f>
        <v>4</v>
      </c>
    </row>
    <row r="25" spans="6:23" ht="55.9" customHeight="1" thickBot="1" x14ac:dyDescent="0.3">
      <c r="F25" s="1"/>
      <c r="G25" s="7" t="s">
        <v>135</v>
      </c>
      <c r="H25" s="55"/>
      <c r="I25" s="55"/>
      <c r="J25" s="55"/>
      <c r="K25" s="55"/>
      <c r="L25" s="53">
        <f t="shared" si="1"/>
        <v>0</v>
      </c>
      <c r="M25" s="53">
        <f t="shared" si="2"/>
        <v>0</v>
      </c>
      <c r="N25" s="53">
        <f t="shared" si="3"/>
        <v>0</v>
      </c>
      <c r="O25" s="54">
        <f t="shared" si="0"/>
        <v>0</v>
      </c>
      <c r="P25" s="54">
        <f t="shared" si="4"/>
        <v>0</v>
      </c>
      <c r="Q25" s="54">
        <f t="shared" si="5"/>
        <v>0</v>
      </c>
    </row>
    <row r="26" spans="6:23" ht="55.9" customHeight="1" thickBot="1" x14ac:dyDescent="0.3">
      <c r="F26" s="1"/>
      <c r="G26" s="7" t="s">
        <v>134</v>
      </c>
      <c r="H26" s="55"/>
      <c r="I26" s="55"/>
      <c r="J26" s="55"/>
      <c r="K26" s="55"/>
      <c r="L26" s="53">
        <f t="shared" si="1"/>
        <v>0</v>
      </c>
      <c r="M26" s="53">
        <f t="shared" si="2"/>
        <v>0</v>
      </c>
      <c r="N26" s="53">
        <f t="shared" si="3"/>
        <v>0</v>
      </c>
      <c r="O26" s="54">
        <f t="shared" si="0"/>
        <v>0</v>
      </c>
      <c r="P26" s="54">
        <f t="shared" si="4"/>
        <v>0</v>
      </c>
      <c r="Q26" s="54">
        <f t="shared" si="5"/>
        <v>0</v>
      </c>
      <c r="S26" s="1"/>
      <c r="V26" s="1"/>
      <c r="W26" s="1"/>
    </row>
    <row r="27" spans="6:23" ht="55.9" customHeight="1" thickBot="1" x14ac:dyDescent="0.3">
      <c r="F27" s="1"/>
      <c r="G27" s="7" t="s">
        <v>135</v>
      </c>
      <c r="H27" s="55"/>
      <c r="I27" s="55"/>
      <c r="J27" s="55"/>
      <c r="K27" s="55"/>
      <c r="L27" s="53">
        <f t="shared" si="1"/>
        <v>0</v>
      </c>
      <c r="M27" s="53">
        <f t="shared" si="2"/>
        <v>0</v>
      </c>
      <c r="N27" s="53">
        <f t="shared" si="3"/>
        <v>0</v>
      </c>
      <c r="O27" s="54">
        <f t="shared" si="0"/>
        <v>0</v>
      </c>
      <c r="P27" s="54">
        <f t="shared" si="4"/>
        <v>0</v>
      </c>
      <c r="Q27" s="54">
        <f t="shared" si="5"/>
        <v>0</v>
      </c>
      <c r="S27" s="1"/>
      <c r="V27" s="1"/>
    </row>
    <row r="28" spans="6:23" ht="20.25" thickBot="1" x14ac:dyDescent="0.3">
      <c r="F28" s="1"/>
      <c r="G28" s="62"/>
      <c r="S28" s="2"/>
    </row>
    <row r="29" spans="6:23" ht="31.15" customHeight="1" thickBot="1" x14ac:dyDescent="0.45">
      <c r="F29" s="4"/>
      <c r="K29" s="76" t="s">
        <v>223</v>
      </c>
      <c r="L29" s="73">
        <f>SUM(L18:L27)</f>
        <v>0</v>
      </c>
      <c r="M29" s="73">
        <f t="shared" ref="M29:Q29" si="6">SUM(M18:M27)</f>
        <v>0</v>
      </c>
      <c r="N29" s="73">
        <f t="shared" si="6"/>
        <v>0</v>
      </c>
      <c r="O29" s="73">
        <f t="shared" si="6"/>
        <v>0</v>
      </c>
      <c r="P29" s="73">
        <f t="shared" si="6"/>
        <v>0</v>
      </c>
      <c r="Q29" s="73">
        <f t="shared" si="6"/>
        <v>0</v>
      </c>
      <c r="S29" s="1"/>
    </row>
    <row r="30" spans="6:23" ht="19.5" x14ac:dyDescent="0.25">
      <c r="F30" s="4"/>
      <c r="K30" s="62"/>
    </row>
    <row r="31" spans="6:23" ht="19.5" x14ac:dyDescent="0.25">
      <c r="F31" s="4"/>
      <c r="O31" s="24"/>
    </row>
    <row r="32" spans="6:23" ht="55.9" customHeight="1" x14ac:dyDescent="0.25">
      <c r="F32" s="4"/>
    </row>
    <row r="33" spans="6:25" ht="19.5" x14ac:dyDescent="0.25">
      <c r="F33" s="4"/>
      <c r="U33" s="1"/>
      <c r="V33" s="1"/>
      <c r="Y33" s="1"/>
    </row>
    <row r="34" spans="6:25" ht="19.5" x14ac:dyDescent="0.25">
      <c r="F34" s="4"/>
      <c r="V34" s="1"/>
      <c r="Y34" s="1"/>
    </row>
    <row r="35" spans="6:25" ht="19.5" x14ac:dyDescent="0.25">
      <c r="F35" s="4"/>
      <c r="V35" s="1"/>
      <c r="Y35" s="1"/>
    </row>
    <row r="36" spans="6:25" ht="19.5" x14ac:dyDescent="0.25">
      <c r="Y36" s="1"/>
    </row>
    <row r="37" spans="6:25" ht="19.5" x14ac:dyDescent="0.25">
      <c r="W37" s="1"/>
    </row>
    <row r="38" spans="6:25" ht="19.5" x14ac:dyDescent="0.25">
      <c r="W38" s="1"/>
    </row>
    <row r="39" spans="6:25" ht="55.9" customHeight="1" x14ac:dyDescent="0.25">
      <c r="W39" s="1"/>
    </row>
    <row r="40" spans="6:25" ht="19.5" x14ac:dyDescent="0.25">
      <c r="Y40" s="1"/>
    </row>
    <row r="41" spans="6:25" ht="19.5" x14ac:dyDescent="0.25">
      <c r="W41">
        <f>1.5/W42</f>
        <v>25</v>
      </c>
      <c r="Y41" s="1"/>
    </row>
    <row r="42" spans="6:25" x14ac:dyDescent="0.25">
      <c r="W42">
        <f>0.2*0.3</f>
        <v>0.06</v>
      </c>
    </row>
    <row r="43" spans="6:25" ht="19.5" x14ac:dyDescent="0.25">
      <c r="F43" s="4"/>
      <c r="T43" s="1"/>
      <c r="U43" s="1">
        <f>W42/1.5</f>
        <v>0.04</v>
      </c>
      <c r="V43" s="1"/>
      <c r="W43" s="1"/>
      <c r="X43" s="4"/>
      <c r="Y43" s="1"/>
    </row>
    <row r="44" spans="6:25" ht="19.5" x14ac:dyDescent="0.25">
      <c r="F44" s="1"/>
      <c r="T44" s="1"/>
      <c r="U44" s="1">
        <f>1/U45</f>
        <v>138.88888888888889</v>
      </c>
      <c r="V44" s="1"/>
      <c r="W44" s="1"/>
      <c r="X44" s="1"/>
      <c r="Y44" s="1"/>
    </row>
    <row r="45" spans="6:25" ht="55.9" customHeight="1" x14ac:dyDescent="0.25">
      <c r="F45" s="4"/>
      <c r="U45">
        <f>0.3*0.3*0.08</f>
        <v>7.1999999999999998E-3</v>
      </c>
    </row>
    <row r="46" spans="6:25" ht="19.5" x14ac:dyDescent="0.25">
      <c r="F46" s="4"/>
      <c r="W46">
        <f>U45/1</f>
        <v>7.1999999999999998E-3</v>
      </c>
    </row>
    <row r="47" spans="6:25" ht="19.5" x14ac:dyDescent="0.25">
      <c r="F47" s="4"/>
    </row>
    <row r="48" spans="6:25" x14ac:dyDescent="0.25">
      <c r="U48">
        <f>1.5/0.2*0.3</f>
        <v>2.25</v>
      </c>
    </row>
    <row r="49" spans="21:27" ht="19.5" x14ac:dyDescent="0.25">
      <c r="W49" s="1"/>
    </row>
    <row r="50" spans="21:27" ht="19.5" x14ac:dyDescent="0.25">
      <c r="W50" s="2"/>
    </row>
    <row r="51" spans="21:27" ht="55.9" customHeight="1" x14ac:dyDescent="0.25">
      <c r="W51" s="2"/>
    </row>
    <row r="52" spans="21:27" ht="19.5" x14ac:dyDescent="0.25">
      <c r="U52">
        <f>U54/U53</f>
        <v>110.97058823529412</v>
      </c>
      <c r="V52">
        <f>1/U53</f>
        <v>98.039215686274503</v>
      </c>
      <c r="W52" s="2"/>
    </row>
    <row r="53" spans="21:27" ht="19.5" x14ac:dyDescent="0.25">
      <c r="U53">
        <f>0.17*0.3*0.2</f>
        <v>1.0200000000000001E-2</v>
      </c>
      <c r="W53" s="2"/>
    </row>
    <row r="54" spans="21:27" ht="19.5" x14ac:dyDescent="0.25">
      <c r="U54">
        <f>1.1*1.05*0.98</f>
        <v>1.1319000000000001</v>
      </c>
      <c r="W54" s="2"/>
    </row>
    <row r="55" spans="21:27" ht="19.5" x14ac:dyDescent="0.25">
      <c r="W55" s="1"/>
    </row>
    <row r="56" spans="21:27" ht="19.5" x14ac:dyDescent="0.25">
      <c r="U56">
        <f>400/1.5</f>
        <v>266.66666666666669</v>
      </c>
      <c r="W56" s="1"/>
    </row>
    <row r="57" spans="21:27" ht="55.9" customHeight="1" x14ac:dyDescent="0.25">
      <c r="W57" s="1"/>
    </row>
    <row r="58" spans="21:27" ht="19.5" x14ac:dyDescent="0.25">
      <c r="X58" s="1"/>
    </row>
    <row r="59" spans="21:27" ht="19.5" x14ac:dyDescent="0.25">
      <c r="X59" s="1"/>
    </row>
    <row r="60" spans="21:27" ht="19.5" x14ac:dyDescent="0.25">
      <c r="V60">
        <f>266*1.5</f>
        <v>399</v>
      </c>
      <c r="X60" s="1"/>
    </row>
    <row r="61" spans="21:27" ht="19.5" x14ac:dyDescent="0.25">
      <c r="X61" s="1"/>
    </row>
    <row r="62" spans="21:27" ht="19.5" x14ac:dyDescent="0.25">
      <c r="X62" s="1"/>
    </row>
    <row r="63" spans="21:27" ht="55.9" customHeight="1" x14ac:dyDescent="0.25">
      <c r="X63" s="1"/>
    </row>
    <row r="64" spans="21:27" ht="19.5" x14ac:dyDescent="0.25">
      <c r="AA64" s="1"/>
    </row>
    <row r="65" spans="19:30" ht="19.5" x14ac:dyDescent="0.25">
      <c r="AA65" s="1"/>
    </row>
    <row r="66" spans="19:30" ht="19.5" x14ac:dyDescent="0.25">
      <c r="AC66" s="1"/>
    </row>
    <row r="67" spans="19:30" ht="21" customHeight="1" x14ac:dyDescent="0.25">
      <c r="S67" s="2"/>
      <c r="AD67" s="1"/>
    </row>
    <row r="68" spans="19:30" ht="21" customHeight="1" x14ac:dyDescent="0.25">
      <c r="AB68" s="1"/>
    </row>
    <row r="69" spans="19:30" ht="19.5" x14ac:dyDescent="0.25">
      <c r="Z69" s="1"/>
    </row>
    <row r="70" spans="19:30" ht="19.5" x14ac:dyDescent="0.25">
      <c r="Z70" s="1"/>
    </row>
    <row r="71" spans="19:30" ht="19.5" x14ac:dyDescent="0.25">
      <c r="Z71" s="1"/>
    </row>
    <row r="72" spans="19:30" ht="19.5" x14ac:dyDescent="0.25">
      <c r="AD72" s="1"/>
    </row>
    <row r="73" spans="19:30" ht="19.5" x14ac:dyDescent="0.25">
      <c r="AD73" s="1"/>
    </row>
    <row r="74" spans="19:30" ht="20.25" thickBot="1" x14ac:dyDescent="0.3">
      <c r="S74" s="1"/>
    </row>
    <row r="75" spans="19:30" ht="19.5" x14ac:dyDescent="0.25">
      <c r="S75" s="14" t="s">
        <v>5</v>
      </c>
    </row>
    <row r="76" spans="19:30" ht="20.25" thickBot="1" x14ac:dyDescent="0.3">
      <c r="S76" s="15" t="s">
        <v>32</v>
      </c>
    </row>
    <row r="77" spans="19:30" ht="20.25" thickBot="1" x14ac:dyDescent="0.3">
      <c r="S77" s="8" t="e">
        <f>#REF!/10</f>
        <v>#REF!</v>
      </c>
    </row>
    <row r="78" spans="19:30" ht="20.25" thickBot="1" x14ac:dyDescent="0.3">
      <c r="S78" s="8" t="e">
        <f>#REF!/10</f>
        <v>#REF!</v>
      </c>
    </row>
    <row r="79" spans="19:30" ht="20.25" thickBot="1" x14ac:dyDescent="0.3">
      <c r="S79" s="8" t="e">
        <f>#REF!/10</f>
        <v>#REF!</v>
      </c>
    </row>
    <row r="82" spans="19:19" ht="20.25" thickBot="1" x14ac:dyDescent="0.3">
      <c r="S82" s="1"/>
    </row>
    <row r="83" spans="19:19" ht="19.5" x14ac:dyDescent="0.25">
      <c r="S83" s="14" t="s">
        <v>5</v>
      </c>
    </row>
    <row r="84" spans="19:19" ht="18.600000000000001" customHeight="1" thickBot="1" x14ac:dyDescent="0.3">
      <c r="S84" s="15" t="s">
        <v>32</v>
      </c>
    </row>
    <row r="85" spans="19:19" ht="19.149999999999999" customHeight="1" thickBot="1" x14ac:dyDescent="0.3">
      <c r="S85" s="8" t="e">
        <f>#REF!/10</f>
        <v>#REF!</v>
      </c>
    </row>
    <row r="86" spans="19:19" ht="20.25" thickBot="1" x14ac:dyDescent="0.3">
      <c r="S86" s="8" t="e">
        <f>#REF!/10</f>
        <v>#REF!</v>
      </c>
    </row>
    <row r="87" spans="19:19" ht="20.25" thickBot="1" x14ac:dyDescent="0.3">
      <c r="S87" s="8" t="e">
        <f>#REF!/10</f>
        <v>#REF!</v>
      </c>
    </row>
    <row r="90" spans="19:19" ht="20.25" thickBot="1" x14ac:dyDescent="0.3">
      <c r="S90" s="1"/>
    </row>
    <row r="91" spans="19:19" ht="19.5" x14ac:dyDescent="0.25">
      <c r="S91" s="14" t="s">
        <v>5</v>
      </c>
    </row>
    <row r="92" spans="19:19" ht="20.25" thickBot="1" x14ac:dyDescent="0.3">
      <c r="S92" s="15" t="s">
        <v>32</v>
      </c>
    </row>
    <row r="93" spans="19:19" ht="20.25" thickBot="1" x14ac:dyDescent="0.3">
      <c r="S93" s="8" t="e">
        <f>#REF!/10</f>
        <v>#REF!</v>
      </c>
    </row>
    <row r="94" spans="19:19" ht="20.25" thickBot="1" x14ac:dyDescent="0.3">
      <c r="S94" s="8" t="e">
        <f>#REF!/10</f>
        <v>#REF!</v>
      </c>
    </row>
    <row r="95" spans="19:19" ht="20.25" thickBot="1" x14ac:dyDescent="0.3">
      <c r="S95" s="8" t="e">
        <f>#REF!/10</f>
        <v>#REF!</v>
      </c>
    </row>
    <row r="98" spans="19:24" ht="19.5" x14ac:dyDescent="0.25">
      <c r="S98" s="1"/>
      <c r="T98" s="1"/>
    </row>
    <row r="100" spans="19:24" x14ac:dyDescent="0.25">
      <c r="W100">
        <f>3.5*3</f>
        <v>10.5</v>
      </c>
    </row>
    <row r="102" spans="19:24" x14ac:dyDescent="0.25">
      <c r="X102">
        <f>10.5/12</f>
        <v>0.875</v>
      </c>
    </row>
  </sheetData>
  <sheetProtection algorithmName="SHA-512" hashValue="B8t4aQBy4Xa9q3p+hw1ksJDWOzBlTOO0hBowDIkb2E4Npi9Rfh2SMCIShlNPoOMpnzI54b6+9/wo3ABgHSgpvA==" saltValue="o2gFLvMT9ZQqn8GpmXSzhA==" spinCount="100000" sheet="1" objects="1" scenarios="1"/>
  <mergeCells count="1">
    <mergeCell ref="G16:G17"/>
  </mergeCells>
  <pageMargins left="0.7" right="0.7" top="0.75" bottom="0.75" header="0.3" footer="0.3"/>
  <pageSetup paperSize="9" scale="7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AF102"/>
  <sheetViews>
    <sheetView topLeftCell="B24" zoomScale="67" zoomScaleNormal="67" workbookViewId="0">
      <selection activeCell="H18" sqref="H18:K27"/>
    </sheetView>
  </sheetViews>
  <sheetFormatPr baseColWidth="10" defaultColWidth="8.85546875" defaultRowHeight="15" x14ac:dyDescent="0.25"/>
  <cols>
    <col min="6" max="6" width="2.85546875" customWidth="1"/>
    <col min="7" max="7" width="25.7109375" customWidth="1"/>
    <col min="8" max="8" width="20.5703125" customWidth="1"/>
    <col min="9" max="9" width="21.85546875" customWidth="1"/>
    <col min="10" max="10" width="17.42578125" customWidth="1"/>
    <col min="11" max="11" width="17" customWidth="1"/>
    <col min="12" max="13" width="22" customWidth="1"/>
    <col min="14" max="14" width="20.5703125" customWidth="1"/>
    <col min="15" max="15" width="25" customWidth="1"/>
    <col min="16" max="16" width="26.5703125" customWidth="1"/>
    <col min="17" max="17" width="23.28515625" customWidth="1"/>
    <col min="18" max="18" width="19.5703125" customWidth="1"/>
    <col min="19" max="19" width="14.5703125" customWidth="1"/>
    <col min="20" max="20" width="20.5703125" customWidth="1"/>
    <col min="21" max="21" width="24" customWidth="1"/>
    <col min="22" max="22" width="18" customWidth="1"/>
    <col min="23" max="27" width="20.5703125" customWidth="1"/>
    <col min="28" max="28" width="18.42578125" customWidth="1"/>
    <col min="29" max="29" width="23" customWidth="1"/>
    <col min="30" max="30" width="24.7109375" customWidth="1"/>
    <col min="31" max="31" width="22.140625" customWidth="1"/>
    <col min="32" max="32" width="16.85546875" customWidth="1"/>
    <col min="33" max="33" width="2.7109375" customWidth="1"/>
  </cols>
  <sheetData>
    <row r="4" spans="6:32" ht="19.5" x14ac:dyDescent="0.25">
      <c r="F4" s="1"/>
      <c r="K4" s="2"/>
      <c r="L4" s="2"/>
      <c r="AD4" s="2"/>
      <c r="AE4" s="1"/>
    </row>
    <row r="5" spans="6:32" ht="19.5" x14ac:dyDescent="0.25">
      <c r="AE5" s="1"/>
      <c r="AF5" s="1"/>
    </row>
    <row r="6" spans="6:32" ht="19.5" x14ac:dyDescent="0.25"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F6" s="2"/>
    </row>
    <row r="7" spans="6:32" ht="19.5" x14ac:dyDescent="0.25">
      <c r="F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E7" s="2"/>
    </row>
    <row r="8" spans="6:32" ht="19.5" x14ac:dyDescent="0.25">
      <c r="F8" s="1"/>
      <c r="O8" s="17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E8" s="2"/>
    </row>
    <row r="9" spans="6:32" ht="19.5" x14ac:dyDescent="0.25">
      <c r="F9" s="1"/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2"/>
      <c r="AC9" s="2"/>
      <c r="AE9" s="2"/>
    </row>
    <row r="10" spans="6:32" ht="23.25" x14ac:dyDescent="0.35">
      <c r="F10" s="1"/>
      <c r="G10" s="2"/>
      <c r="H10" s="2"/>
      <c r="I10" s="17"/>
      <c r="K10" s="158" t="s">
        <v>400</v>
      </c>
      <c r="L10" s="158"/>
      <c r="M10" s="158"/>
      <c r="N10" s="159"/>
      <c r="O10" s="1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E10" s="2"/>
    </row>
    <row r="11" spans="6:32" ht="19.5" x14ac:dyDescent="0.25">
      <c r="F11" s="2"/>
      <c r="G11" s="2"/>
      <c r="H11" s="2"/>
      <c r="I11" s="2"/>
      <c r="J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E11" s="1"/>
    </row>
    <row r="12" spans="6:32" ht="23.25" x14ac:dyDescent="0.35">
      <c r="F12" s="1"/>
      <c r="G12" s="1"/>
      <c r="H12" s="96" t="s">
        <v>366</v>
      </c>
      <c r="I12" s="96"/>
      <c r="J12" s="9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E12" s="1"/>
    </row>
    <row r="13" spans="6:32" ht="19.5" x14ac:dyDescent="0.25">
      <c r="F13" s="1"/>
      <c r="G13" s="1"/>
      <c r="H13" s="1"/>
      <c r="I13" s="1"/>
      <c r="J13" s="1"/>
      <c r="K13" s="3"/>
      <c r="L13" s="3"/>
      <c r="M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E13" s="1"/>
    </row>
    <row r="14" spans="6:32" ht="22.5" x14ac:dyDescent="0.3">
      <c r="F14" s="1"/>
      <c r="G14" s="1"/>
      <c r="H14" s="98" t="s">
        <v>45</v>
      </c>
      <c r="I14" s="20"/>
      <c r="J14" s="1"/>
      <c r="K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6:32" ht="20.25" thickBot="1" x14ac:dyDescent="0.3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6:32" ht="19.5" x14ac:dyDescent="0.25">
      <c r="F16" s="1"/>
      <c r="G16" s="191" t="s">
        <v>0</v>
      </c>
      <c r="H16" s="9" t="s">
        <v>2</v>
      </c>
      <c r="I16" s="9" t="s">
        <v>4</v>
      </c>
      <c r="J16" s="9" t="s">
        <v>19</v>
      </c>
      <c r="K16" s="12" t="s">
        <v>14</v>
      </c>
      <c r="L16" s="50" t="s">
        <v>60</v>
      </c>
      <c r="M16" s="50" t="s">
        <v>60</v>
      </c>
      <c r="N16" s="50" t="s">
        <v>60</v>
      </c>
      <c r="O16" s="45" t="s">
        <v>60</v>
      </c>
      <c r="P16" s="45" t="s">
        <v>60</v>
      </c>
      <c r="Q16" s="45" t="s">
        <v>60</v>
      </c>
      <c r="R16" s="11"/>
    </row>
    <row r="17" spans="6:23" ht="23.25" thickBot="1" x14ac:dyDescent="0.3">
      <c r="F17" s="1"/>
      <c r="G17" s="192"/>
      <c r="H17" s="10" t="s">
        <v>326</v>
      </c>
      <c r="I17" s="10" t="s">
        <v>326</v>
      </c>
      <c r="J17" s="10" t="s">
        <v>326</v>
      </c>
      <c r="K17" s="10" t="s">
        <v>326</v>
      </c>
      <c r="L17" s="51" t="s">
        <v>61</v>
      </c>
      <c r="M17" s="51" t="s">
        <v>70</v>
      </c>
      <c r="N17" s="51" t="s">
        <v>71</v>
      </c>
      <c r="O17" s="46" t="s">
        <v>62</v>
      </c>
      <c r="P17" s="46" t="s">
        <v>334</v>
      </c>
      <c r="Q17" s="47" t="s">
        <v>335</v>
      </c>
    </row>
    <row r="18" spans="6:23" ht="55.9" customHeight="1" thickBot="1" x14ac:dyDescent="0.3">
      <c r="F18" s="4"/>
      <c r="G18" s="7" t="s">
        <v>136</v>
      </c>
      <c r="H18" s="55"/>
      <c r="I18" s="55"/>
      <c r="J18" s="55"/>
      <c r="K18" s="55"/>
      <c r="L18" s="53">
        <f>(((H18*I18*J18*K18)*350)/50)*1.1</f>
        <v>0</v>
      </c>
      <c r="M18" s="53">
        <f>H18*I18*J18*K18*0.8*1.05</f>
        <v>0</v>
      </c>
      <c r="N18" s="53">
        <f>H18*I18*J18*K18*0.4*1.05</f>
        <v>0</v>
      </c>
      <c r="O18" s="54">
        <f t="shared" ref="O18:O27" si="0">L18/20</f>
        <v>0</v>
      </c>
      <c r="P18" s="54">
        <f>(M18*1700)/1000</f>
        <v>0</v>
      </c>
      <c r="Q18" s="54">
        <f>(N18*1600)/1000</f>
        <v>0</v>
      </c>
      <c r="S18" s="5"/>
    </row>
    <row r="19" spans="6:23" ht="55.9" customHeight="1" thickBot="1" x14ac:dyDescent="0.3">
      <c r="F19" s="4"/>
      <c r="G19" s="7" t="s">
        <v>137</v>
      </c>
      <c r="H19" s="55"/>
      <c r="I19" s="55"/>
      <c r="J19" s="55"/>
      <c r="K19" s="55"/>
      <c r="L19" s="53">
        <f t="shared" ref="L19:L27" si="1">(((H19*I19*J19*K19)*350)/50)*1.1</f>
        <v>0</v>
      </c>
      <c r="M19" s="53">
        <f t="shared" ref="M19:M27" si="2">H19*I19*J19*K19*0.8*1.05</f>
        <v>0</v>
      </c>
      <c r="N19" s="53">
        <f t="shared" ref="N19:N27" si="3">H19*I19*J19*K19*0.4*1.05</f>
        <v>0</v>
      </c>
      <c r="O19" s="54">
        <f t="shared" si="0"/>
        <v>0</v>
      </c>
      <c r="P19" s="54">
        <f t="shared" ref="P19:P27" si="4">(M19*1700)/1000</f>
        <v>0</v>
      </c>
      <c r="Q19" s="54">
        <f t="shared" ref="Q19:Q27" si="5">(N19*1600)/1000</f>
        <v>0</v>
      </c>
      <c r="R19" s="1"/>
      <c r="U19" s="5"/>
    </row>
    <row r="20" spans="6:23" ht="55.9" customHeight="1" thickBot="1" x14ac:dyDescent="0.3">
      <c r="F20" s="4"/>
      <c r="G20" s="7" t="s">
        <v>138</v>
      </c>
      <c r="H20" s="55"/>
      <c r="I20" s="55"/>
      <c r="J20" s="55"/>
      <c r="K20" s="55"/>
      <c r="L20" s="53">
        <f t="shared" si="1"/>
        <v>0</v>
      </c>
      <c r="M20" s="53">
        <f t="shared" si="2"/>
        <v>0</v>
      </c>
      <c r="N20" s="53">
        <f t="shared" si="3"/>
        <v>0</v>
      </c>
      <c r="O20" s="54">
        <f t="shared" si="0"/>
        <v>0</v>
      </c>
      <c r="P20" s="54">
        <f t="shared" si="4"/>
        <v>0</v>
      </c>
      <c r="Q20" s="54">
        <f t="shared" si="5"/>
        <v>0</v>
      </c>
      <c r="R20" s="1"/>
      <c r="U20" s="5"/>
    </row>
    <row r="21" spans="6:23" ht="55.9" customHeight="1" thickBot="1" x14ac:dyDescent="0.3">
      <c r="F21" s="4"/>
      <c r="G21" s="7" t="s">
        <v>139</v>
      </c>
      <c r="H21" s="55"/>
      <c r="I21" s="55"/>
      <c r="J21" s="55"/>
      <c r="K21" s="55"/>
      <c r="L21" s="53">
        <f t="shared" si="1"/>
        <v>0</v>
      </c>
      <c r="M21" s="53">
        <f t="shared" si="2"/>
        <v>0</v>
      </c>
      <c r="N21" s="53">
        <f t="shared" si="3"/>
        <v>0</v>
      </c>
      <c r="O21" s="54">
        <f t="shared" si="0"/>
        <v>0</v>
      </c>
      <c r="P21" s="54">
        <f t="shared" si="4"/>
        <v>0</v>
      </c>
      <c r="Q21" s="54">
        <f t="shared" si="5"/>
        <v>0</v>
      </c>
      <c r="R21" s="2"/>
      <c r="U21" s="5"/>
    </row>
    <row r="22" spans="6:23" ht="55.9" customHeight="1" thickBot="1" x14ac:dyDescent="0.3">
      <c r="F22" s="4"/>
      <c r="G22" s="7" t="s">
        <v>140</v>
      </c>
      <c r="H22" s="55"/>
      <c r="I22" s="55"/>
      <c r="J22" s="55"/>
      <c r="K22" s="55"/>
      <c r="L22" s="53">
        <f t="shared" si="1"/>
        <v>0</v>
      </c>
      <c r="M22" s="53">
        <f t="shared" si="2"/>
        <v>0</v>
      </c>
      <c r="N22" s="53">
        <f t="shared" si="3"/>
        <v>0</v>
      </c>
      <c r="O22" s="54">
        <f t="shared" si="0"/>
        <v>0</v>
      </c>
      <c r="P22" s="54">
        <f t="shared" si="4"/>
        <v>0</v>
      </c>
      <c r="Q22" s="54">
        <f t="shared" si="5"/>
        <v>0</v>
      </c>
      <c r="R22" s="1"/>
      <c r="U22" s="16"/>
    </row>
    <row r="23" spans="6:23" ht="55.9" customHeight="1" thickBot="1" x14ac:dyDescent="0.3">
      <c r="F23" s="4"/>
      <c r="G23" s="7" t="s">
        <v>141</v>
      </c>
      <c r="H23" s="55"/>
      <c r="I23" s="55"/>
      <c r="J23" s="55"/>
      <c r="K23" s="55"/>
      <c r="L23" s="53">
        <f t="shared" si="1"/>
        <v>0</v>
      </c>
      <c r="M23" s="53">
        <f t="shared" si="2"/>
        <v>0</v>
      </c>
      <c r="N23" s="53">
        <f t="shared" si="3"/>
        <v>0</v>
      </c>
      <c r="O23" s="54">
        <f t="shared" si="0"/>
        <v>0</v>
      </c>
      <c r="P23" s="54">
        <f t="shared" si="4"/>
        <v>0</v>
      </c>
      <c r="Q23" s="54">
        <f t="shared" si="5"/>
        <v>0</v>
      </c>
    </row>
    <row r="24" spans="6:23" ht="55.9" customHeight="1" thickBot="1" x14ac:dyDescent="0.3">
      <c r="F24" s="4"/>
      <c r="G24" s="7" t="s">
        <v>142</v>
      </c>
      <c r="H24" s="55"/>
      <c r="I24" s="55"/>
      <c r="J24" s="55"/>
      <c r="K24" s="55"/>
      <c r="L24" s="53">
        <f t="shared" si="1"/>
        <v>0</v>
      </c>
      <c r="M24" s="53">
        <f t="shared" si="2"/>
        <v>0</v>
      </c>
      <c r="N24" s="53">
        <f t="shared" si="3"/>
        <v>0</v>
      </c>
      <c r="O24" s="54">
        <f t="shared" si="0"/>
        <v>0</v>
      </c>
      <c r="P24" s="54">
        <f t="shared" si="4"/>
        <v>0</v>
      </c>
      <c r="Q24" s="54">
        <f t="shared" si="5"/>
        <v>0</v>
      </c>
    </row>
    <row r="25" spans="6:23" ht="55.9" customHeight="1" thickBot="1" x14ac:dyDescent="0.3">
      <c r="F25" s="1"/>
      <c r="G25" s="7" t="s">
        <v>143</v>
      </c>
      <c r="H25" s="55"/>
      <c r="I25" s="55"/>
      <c r="J25" s="55"/>
      <c r="K25" s="55"/>
      <c r="L25" s="53">
        <f t="shared" si="1"/>
        <v>0</v>
      </c>
      <c r="M25" s="53">
        <f t="shared" si="2"/>
        <v>0</v>
      </c>
      <c r="N25" s="53">
        <f t="shared" si="3"/>
        <v>0</v>
      </c>
      <c r="O25" s="54">
        <f t="shared" si="0"/>
        <v>0</v>
      </c>
      <c r="P25" s="54">
        <f t="shared" si="4"/>
        <v>0</v>
      </c>
      <c r="Q25" s="54">
        <f t="shared" si="5"/>
        <v>0</v>
      </c>
    </row>
    <row r="26" spans="6:23" ht="55.9" customHeight="1" thickBot="1" x14ac:dyDescent="0.3">
      <c r="F26" s="1"/>
      <c r="G26" s="7" t="s">
        <v>144</v>
      </c>
      <c r="H26" s="55"/>
      <c r="I26" s="55"/>
      <c r="J26" s="55"/>
      <c r="K26" s="55"/>
      <c r="L26" s="53">
        <f t="shared" si="1"/>
        <v>0</v>
      </c>
      <c r="M26" s="53">
        <f t="shared" si="2"/>
        <v>0</v>
      </c>
      <c r="N26" s="53">
        <f t="shared" si="3"/>
        <v>0</v>
      </c>
      <c r="O26" s="54">
        <f t="shared" si="0"/>
        <v>0</v>
      </c>
      <c r="P26" s="54">
        <f t="shared" si="4"/>
        <v>0</v>
      </c>
      <c r="Q26" s="54">
        <f t="shared" si="5"/>
        <v>0</v>
      </c>
      <c r="S26" s="1"/>
      <c r="V26" s="1"/>
      <c r="W26" s="1"/>
    </row>
    <row r="27" spans="6:23" ht="55.9" customHeight="1" thickBot="1" x14ac:dyDescent="0.3">
      <c r="F27" s="1"/>
      <c r="G27" s="7" t="s">
        <v>145</v>
      </c>
      <c r="H27" s="55"/>
      <c r="I27" s="55"/>
      <c r="J27" s="55"/>
      <c r="K27" s="55"/>
      <c r="L27" s="53">
        <f t="shared" si="1"/>
        <v>0</v>
      </c>
      <c r="M27" s="53">
        <f t="shared" si="2"/>
        <v>0</v>
      </c>
      <c r="N27" s="53">
        <f t="shared" si="3"/>
        <v>0</v>
      </c>
      <c r="O27" s="54">
        <f t="shared" si="0"/>
        <v>0</v>
      </c>
      <c r="P27" s="54">
        <f t="shared" si="4"/>
        <v>0</v>
      </c>
      <c r="Q27" s="54">
        <f t="shared" si="5"/>
        <v>0</v>
      </c>
      <c r="S27" s="1"/>
      <c r="V27" s="1"/>
    </row>
    <row r="28" spans="6:23" ht="20.25" thickBot="1" x14ac:dyDescent="0.3">
      <c r="F28" s="1"/>
      <c r="G28" s="62"/>
      <c r="S28" s="2"/>
    </row>
    <row r="29" spans="6:23" ht="31.15" customHeight="1" thickBot="1" x14ac:dyDescent="0.45">
      <c r="F29" s="4"/>
      <c r="K29" s="76" t="s">
        <v>223</v>
      </c>
      <c r="L29" s="73">
        <f>SUM(L18:L27)</f>
        <v>0</v>
      </c>
      <c r="M29" s="73">
        <f t="shared" ref="M29:Q29" si="6">SUM(M18:M27)</f>
        <v>0</v>
      </c>
      <c r="N29" s="73">
        <f t="shared" si="6"/>
        <v>0</v>
      </c>
      <c r="O29" s="73">
        <f t="shared" si="6"/>
        <v>0</v>
      </c>
      <c r="P29" s="73">
        <f t="shared" si="6"/>
        <v>0</v>
      </c>
      <c r="Q29" s="73">
        <f t="shared" si="6"/>
        <v>0</v>
      </c>
      <c r="S29" s="1"/>
    </row>
    <row r="30" spans="6:23" ht="19.5" x14ac:dyDescent="0.25">
      <c r="F30" s="4"/>
      <c r="K30" s="62"/>
    </row>
    <row r="31" spans="6:23" ht="19.5" x14ac:dyDescent="0.25">
      <c r="F31" s="4"/>
      <c r="O31" s="24"/>
    </row>
    <row r="32" spans="6:23" ht="55.9" customHeight="1" x14ac:dyDescent="0.25">
      <c r="F32" s="4"/>
    </row>
    <row r="33" spans="6:25" ht="19.5" x14ac:dyDescent="0.25">
      <c r="F33" s="4"/>
      <c r="U33" s="1"/>
      <c r="V33" s="1"/>
      <c r="Y33" s="1"/>
    </row>
    <row r="34" spans="6:25" ht="19.5" x14ac:dyDescent="0.25">
      <c r="F34" s="4"/>
      <c r="V34" s="1"/>
      <c r="Y34" s="1"/>
    </row>
    <row r="35" spans="6:25" ht="19.5" x14ac:dyDescent="0.25">
      <c r="F35" s="4"/>
      <c r="V35" s="1"/>
      <c r="Y35" s="1"/>
    </row>
    <row r="36" spans="6:25" ht="19.5" x14ac:dyDescent="0.25">
      <c r="Y36" s="1"/>
    </row>
    <row r="37" spans="6:25" ht="19.5" x14ac:dyDescent="0.25">
      <c r="W37" s="1"/>
    </row>
    <row r="38" spans="6:25" ht="19.5" x14ac:dyDescent="0.25">
      <c r="W38" s="1"/>
    </row>
    <row r="39" spans="6:25" ht="55.9" customHeight="1" x14ac:dyDescent="0.25">
      <c r="W39" s="1"/>
    </row>
    <row r="40" spans="6:25" ht="19.5" x14ac:dyDescent="0.25">
      <c r="Y40" s="1"/>
    </row>
    <row r="41" spans="6:25" ht="19.5" x14ac:dyDescent="0.25">
      <c r="W41">
        <f>1.5/W42</f>
        <v>25</v>
      </c>
      <c r="Y41" s="1"/>
    </row>
    <row r="42" spans="6:25" x14ac:dyDescent="0.25">
      <c r="W42">
        <f>0.2*0.3</f>
        <v>0.06</v>
      </c>
    </row>
    <row r="43" spans="6:25" ht="19.5" x14ac:dyDescent="0.25">
      <c r="F43" s="4"/>
      <c r="T43" s="1"/>
      <c r="U43" s="1">
        <f>W42/1.5</f>
        <v>0.04</v>
      </c>
      <c r="V43" s="1"/>
      <c r="W43" s="1"/>
      <c r="X43" s="4"/>
      <c r="Y43" s="1"/>
    </row>
    <row r="44" spans="6:25" ht="19.5" x14ac:dyDescent="0.25">
      <c r="F44" s="1"/>
      <c r="T44" s="1"/>
      <c r="U44" s="1">
        <f>1/U45</f>
        <v>138.88888888888889</v>
      </c>
      <c r="V44" s="1"/>
      <c r="W44" s="1"/>
      <c r="X44" s="1"/>
      <c r="Y44" s="1"/>
    </row>
    <row r="45" spans="6:25" ht="55.9" customHeight="1" x14ac:dyDescent="0.25">
      <c r="F45" s="4"/>
      <c r="U45">
        <f>0.3*0.3*0.08</f>
        <v>7.1999999999999998E-3</v>
      </c>
    </row>
    <row r="46" spans="6:25" ht="19.5" x14ac:dyDescent="0.25">
      <c r="F46" s="4"/>
      <c r="W46">
        <f>U45/1</f>
        <v>7.1999999999999998E-3</v>
      </c>
    </row>
    <row r="47" spans="6:25" ht="19.5" x14ac:dyDescent="0.25">
      <c r="F47" s="4"/>
    </row>
    <row r="48" spans="6:25" x14ac:dyDescent="0.25">
      <c r="U48">
        <f>1.5/0.2*0.3</f>
        <v>2.25</v>
      </c>
    </row>
    <row r="49" spans="21:27" ht="19.5" x14ac:dyDescent="0.25">
      <c r="W49" s="1"/>
    </row>
    <row r="50" spans="21:27" ht="19.5" x14ac:dyDescent="0.25">
      <c r="W50" s="2"/>
    </row>
    <row r="51" spans="21:27" ht="55.9" customHeight="1" x14ac:dyDescent="0.25">
      <c r="W51" s="2"/>
    </row>
    <row r="52" spans="21:27" ht="19.5" x14ac:dyDescent="0.25">
      <c r="U52">
        <f>U54/U53</f>
        <v>110.97058823529412</v>
      </c>
      <c r="V52">
        <f>1/U53</f>
        <v>98.039215686274503</v>
      </c>
      <c r="W52" s="2"/>
    </row>
    <row r="53" spans="21:27" ht="19.5" x14ac:dyDescent="0.25">
      <c r="U53">
        <f>0.17*0.3*0.2</f>
        <v>1.0200000000000001E-2</v>
      </c>
      <c r="W53" s="2"/>
    </row>
    <row r="54" spans="21:27" ht="19.5" x14ac:dyDescent="0.25">
      <c r="U54">
        <f>1.1*1.05*0.98</f>
        <v>1.1319000000000001</v>
      </c>
      <c r="W54" s="2"/>
    </row>
    <row r="55" spans="21:27" ht="19.5" x14ac:dyDescent="0.25">
      <c r="W55" s="1"/>
    </row>
    <row r="56" spans="21:27" ht="19.5" x14ac:dyDescent="0.25">
      <c r="U56">
        <f>400/1.5</f>
        <v>266.66666666666669</v>
      </c>
      <c r="W56" s="1"/>
    </row>
    <row r="57" spans="21:27" ht="55.9" customHeight="1" x14ac:dyDescent="0.25">
      <c r="W57" s="1"/>
    </row>
    <row r="58" spans="21:27" ht="19.5" x14ac:dyDescent="0.25">
      <c r="X58" s="1"/>
    </row>
    <row r="59" spans="21:27" ht="19.5" x14ac:dyDescent="0.25">
      <c r="X59" s="1"/>
    </row>
    <row r="60" spans="21:27" ht="19.5" x14ac:dyDescent="0.25">
      <c r="V60">
        <f>266*1.5</f>
        <v>399</v>
      </c>
      <c r="X60" s="1"/>
    </row>
    <row r="61" spans="21:27" ht="19.5" x14ac:dyDescent="0.25">
      <c r="X61" s="1"/>
    </row>
    <row r="62" spans="21:27" ht="19.5" x14ac:dyDescent="0.25">
      <c r="X62" s="1"/>
    </row>
    <row r="63" spans="21:27" ht="55.9" customHeight="1" x14ac:dyDescent="0.25">
      <c r="X63" s="1"/>
    </row>
    <row r="64" spans="21:27" ht="19.5" x14ac:dyDescent="0.25">
      <c r="AA64" s="1"/>
    </row>
    <row r="65" spans="19:30" ht="19.5" x14ac:dyDescent="0.25">
      <c r="AA65" s="1"/>
    </row>
    <row r="66" spans="19:30" ht="19.5" x14ac:dyDescent="0.25">
      <c r="AC66" s="1"/>
    </row>
    <row r="67" spans="19:30" ht="21" customHeight="1" x14ac:dyDescent="0.25">
      <c r="S67" s="2"/>
      <c r="AD67" s="1"/>
    </row>
    <row r="68" spans="19:30" ht="21" customHeight="1" x14ac:dyDescent="0.25">
      <c r="AB68" s="1"/>
    </row>
    <row r="69" spans="19:30" ht="19.5" x14ac:dyDescent="0.25">
      <c r="Z69" s="1"/>
    </row>
    <row r="70" spans="19:30" ht="19.5" x14ac:dyDescent="0.25">
      <c r="Z70" s="1"/>
    </row>
    <row r="71" spans="19:30" ht="19.5" x14ac:dyDescent="0.25">
      <c r="Z71" s="1"/>
    </row>
    <row r="72" spans="19:30" ht="19.5" x14ac:dyDescent="0.25">
      <c r="AD72" s="1"/>
    </row>
    <row r="73" spans="19:30" ht="19.5" x14ac:dyDescent="0.25">
      <c r="AD73" s="1"/>
    </row>
    <row r="74" spans="19:30" ht="20.25" thickBot="1" x14ac:dyDescent="0.3">
      <c r="S74" s="1"/>
    </row>
    <row r="75" spans="19:30" ht="19.5" x14ac:dyDescent="0.25">
      <c r="S75" s="14" t="s">
        <v>5</v>
      </c>
    </row>
    <row r="76" spans="19:30" ht="20.25" thickBot="1" x14ac:dyDescent="0.3">
      <c r="S76" s="15" t="s">
        <v>32</v>
      </c>
    </row>
    <row r="77" spans="19:30" ht="20.25" thickBot="1" x14ac:dyDescent="0.3">
      <c r="S77" s="8" t="e">
        <f>#REF!/10</f>
        <v>#REF!</v>
      </c>
    </row>
    <row r="78" spans="19:30" ht="20.25" thickBot="1" x14ac:dyDescent="0.3">
      <c r="S78" s="8" t="e">
        <f>#REF!/10</f>
        <v>#REF!</v>
      </c>
    </row>
    <row r="79" spans="19:30" ht="20.25" thickBot="1" x14ac:dyDescent="0.3">
      <c r="S79" s="8" t="e">
        <f>#REF!/10</f>
        <v>#REF!</v>
      </c>
    </row>
    <row r="82" spans="19:19" ht="20.25" thickBot="1" x14ac:dyDescent="0.3">
      <c r="S82" s="1"/>
    </row>
    <row r="83" spans="19:19" ht="19.5" x14ac:dyDescent="0.25">
      <c r="S83" s="14" t="s">
        <v>5</v>
      </c>
    </row>
    <row r="84" spans="19:19" ht="18.600000000000001" customHeight="1" thickBot="1" x14ac:dyDescent="0.3">
      <c r="S84" s="15" t="s">
        <v>32</v>
      </c>
    </row>
    <row r="85" spans="19:19" ht="19.149999999999999" customHeight="1" thickBot="1" x14ac:dyDescent="0.3">
      <c r="S85" s="8" t="e">
        <f>#REF!/10</f>
        <v>#REF!</v>
      </c>
    </row>
    <row r="86" spans="19:19" ht="20.25" thickBot="1" x14ac:dyDescent="0.3">
      <c r="S86" s="8" t="e">
        <f>#REF!/10</f>
        <v>#REF!</v>
      </c>
    </row>
    <row r="87" spans="19:19" ht="20.25" thickBot="1" x14ac:dyDescent="0.3">
      <c r="S87" s="8" t="e">
        <f>#REF!/10</f>
        <v>#REF!</v>
      </c>
    </row>
    <row r="90" spans="19:19" ht="20.25" thickBot="1" x14ac:dyDescent="0.3">
      <c r="S90" s="1"/>
    </row>
    <row r="91" spans="19:19" ht="19.5" x14ac:dyDescent="0.25">
      <c r="S91" s="14" t="s">
        <v>5</v>
      </c>
    </row>
    <row r="92" spans="19:19" ht="20.25" thickBot="1" x14ac:dyDescent="0.3">
      <c r="S92" s="15" t="s">
        <v>32</v>
      </c>
    </row>
    <row r="93" spans="19:19" ht="20.25" thickBot="1" x14ac:dyDescent="0.3">
      <c r="S93" s="8" t="e">
        <f>#REF!/10</f>
        <v>#REF!</v>
      </c>
    </row>
    <row r="94" spans="19:19" ht="20.25" thickBot="1" x14ac:dyDescent="0.3">
      <c r="S94" s="8" t="e">
        <f>#REF!/10</f>
        <v>#REF!</v>
      </c>
    </row>
    <row r="95" spans="19:19" ht="20.25" thickBot="1" x14ac:dyDescent="0.3">
      <c r="S95" s="8" t="e">
        <f>#REF!/10</f>
        <v>#REF!</v>
      </c>
    </row>
    <row r="98" spans="19:24" ht="19.5" x14ac:dyDescent="0.25">
      <c r="S98" s="1"/>
      <c r="T98" s="1"/>
    </row>
    <row r="100" spans="19:24" x14ac:dyDescent="0.25">
      <c r="W100">
        <f>3.5*3</f>
        <v>10.5</v>
      </c>
    </row>
    <row r="102" spans="19:24" x14ac:dyDescent="0.25">
      <c r="X102">
        <f>10.5/12</f>
        <v>0.875</v>
      </c>
    </row>
  </sheetData>
  <sheetProtection algorithmName="SHA-512" hashValue="UzH9g0UW239d9t66bk/nxH4xrdTVMRk8h8cXQQ0qVoK0fcSafQ2JgeeRW+KOBVop2IotBohI21dAnJTn3myGlA==" saltValue="q8n3rv+Vpcqtm72bdyhXmw==" spinCount="100000" sheet="1" objects="1" scenarios="1"/>
  <mergeCells count="1">
    <mergeCell ref="G16:G17"/>
  </mergeCells>
  <pageMargins left="0.7" right="0.7" top="0.75" bottom="0.75" header="0.3" footer="0.3"/>
  <pageSetup paperSize="9" scale="7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AF102"/>
  <sheetViews>
    <sheetView topLeftCell="A21" zoomScale="60" zoomScaleNormal="60" workbookViewId="0">
      <selection activeCell="H18" sqref="H18:K27"/>
    </sheetView>
  </sheetViews>
  <sheetFormatPr baseColWidth="10" defaultColWidth="8.85546875" defaultRowHeight="15" x14ac:dyDescent="0.25"/>
  <cols>
    <col min="6" max="6" width="2.85546875" customWidth="1"/>
    <col min="7" max="9" width="25.7109375" customWidth="1"/>
    <col min="10" max="10" width="21.7109375" customWidth="1"/>
    <col min="11" max="11" width="24.140625" customWidth="1"/>
    <col min="12" max="12" width="20.28515625" customWidth="1"/>
    <col min="13" max="14" width="20.5703125" customWidth="1"/>
    <col min="15" max="15" width="22.85546875" customWidth="1"/>
    <col min="16" max="16" width="24.85546875" customWidth="1"/>
    <col min="17" max="17" width="23.5703125" customWidth="1"/>
    <col min="18" max="18" width="19.5703125" customWidth="1"/>
    <col min="19" max="19" width="14.5703125" customWidth="1"/>
    <col min="20" max="20" width="20.5703125" customWidth="1"/>
    <col min="21" max="21" width="24" customWidth="1"/>
    <col min="22" max="22" width="18" customWidth="1"/>
    <col min="23" max="27" width="20.5703125" customWidth="1"/>
    <col min="28" max="28" width="18.42578125" customWidth="1"/>
    <col min="29" max="29" width="23" customWidth="1"/>
    <col min="30" max="30" width="24.7109375" customWidth="1"/>
    <col min="31" max="31" width="22.140625" customWidth="1"/>
    <col min="32" max="32" width="16.85546875" customWidth="1"/>
    <col min="33" max="33" width="2.7109375" customWidth="1"/>
  </cols>
  <sheetData>
    <row r="4" spans="6:32" ht="19.5" x14ac:dyDescent="0.25">
      <c r="F4" s="1"/>
      <c r="K4" s="2"/>
      <c r="L4" s="2"/>
      <c r="AD4" s="2"/>
      <c r="AE4" s="1"/>
    </row>
    <row r="5" spans="6:32" ht="19.5" x14ac:dyDescent="0.25">
      <c r="AE5" s="1"/>
      <c r="AF5" s="1"/>
    </row>
    <row r="6" spans="6:32" ht="19.5" x14ac:dyDescent="0.25"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F6" s="2"/>
    </row>
    <row r="7" spans="6:32" ht="19.5" x14ac:dyDescent="0.25">
      <c r="F7" s="1"/>
      <c r="J7" s="1"/>
      <c r="K7" s="1"/>
      <c r="L7" s="1"/>
      <c r="M7" s="1"/>
      <c r="N7" s="1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E7" s="2"/>
    </row>
    <row r="8" spans="6:32" ht="19.5" x14ac:dyDescent="0.25">
      <c r="F8" s="1"/>
      <c r="J8" s="1"/>
      <c r="K8" s="1"/>
      <c r="L8" s="1"/>
      <c r="M8" s="1"/>
      <c r="N8" s="1"/>
      <c r="O8" s="17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E8" s="2"/>
    </row>
    <row r="9" spans="6:32" ht="23.25" x14ac:dyDescent="0.35">
      <c r="F9" s="1"/>
      <c r="J9" s="158" t="s">
        <v>400</v>
      </c>
      <c r="K9" s="158"/>
      <c r="L9" s="158"/>
      <c r="M9" s="159"/>
      <c r="N9" s="1"/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2"/>
      <c r="AC9" s="2"/>
      <c r="AE9" s="2"/>
    </row>
    <row r="10" spans="6:32" ht="19.5" x14ac:dyDescent="0.25">
      <c r="F10" s="1"/>
      <c r="G10" s="2"/>
      <c r="H10" s="2"/>
      <c r="I10" s="17"/>
      <c r="J10" s="1"/>
      <c r="K10" s="1"/>
      <c r="L10" s="1"/>
      <c r="M10" s="1"/>
      <c r="N10" s="1"/>
      <c r="O10" s="1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E10" s="2"/>
    </row>
    <row r="11" spans="6:32" ht="19.5" x14ac:dyDescent="0.25">
      <c r="F11" s="2"/>
      <c r="G11" s="2"/>
      <c r="H11" s="2"/>
      <c r="I11" s="2"/>
      <c r="J11" s="1"/>
      <c r="K11" s="1"/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E11" s="1"/>
    </row>
    <row r="12" spans="6:32" ht="26.25" x14ac:dyDescent="0.4">
      <c r="F12" s="1"/>
      <c r="G12" s="1"/>
      <c r="H12" s="97" t="s">
        <v>367</v>
      </c>
      <c r="I12" s="97"/>
      <c r="J12" s="97"/>
      <c r="K12" s="97"/>
      <c r="L12" s="9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E12" s="1"/>
    </row>
    <row r="13" spans="6:32" ht="19.5" x14ac:dyDescent="0.25">
      <c r="F13" s="1"/>
      <c r="G13" s="1"/>
      <c r="H13" s="1"/>
      <c r="I13" s="1"/>
      <c r="J13" s="1"/>
      <c r="K13" s="3"/>
      <c r="L13" s="3"/>
      <c r="M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E13" s="1"/>
    </row>
    <row r="14" spans="6:32" ht="22.5" x14ac:dyDescent="0.3">
      <c r="F14" s="1"/>
      <c r="G14" s="1"/>
      <c r="H14" s="98" t="s">
        <v>45</v>
      </c>
      <c r="I14" s="20"/>
      <c r="J14" s="1"/>
      <c r="K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6:32" ht="20.25" thickBot="1" x14ac:dyDescent="0.3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6:32" ht="19.5" x14ac:dyDescent="0.25">
      <c r="F16" s="1"/>
      <c r="G16" s="191" t="s">
        <v>0</v>
      </c>
      <c r="H16" s="9" t="s">
        <v>2</v>
      </c>
      <c r="I16" s="9" t="s">
        <v>4</v>
      </c>
      <c r="J16" s="9" t="s">
        <v>19</v>
      </c>
      <c r="K16" s="12" t="s">
        <v>14</v>
      </c>
      <c r="L16" s="50" t="s">
        <v>60</v>
      </c>
      <c r="M16" s="50" t="s">
        <v>60</v>
      </c>
      <c r="N16" s="50" t="s">
        <v>60</v>
      </c>
      <c r="O16" s="45" t="s">
        <v>60</v>
      </c>
      <c r="P16" s="45" t="s">
        <v>60</v>
      </c>
      <c r="Q16" s="45" t="s">
        <v>60</v>
      </c>
      <c r="R16" s="11"/>
    </row>
    <row r="17" spans="6:23" ht="23.25" thickBot="1" x14ac:dyDescent="0.3">
      <c r="F17" s="1"/>
      <c r="G17" s="192"/>
      <c r="H17" s="10" t="s">
        <v>386</v>
      </c>
      <c r="I17" s="10" t="s">
        <v>386</v>
      </c>
      <c r="J17" s="10" t="s">
        <v>386</v>
      </c>
      <c r="K17" s="10" t="s">
        <v>386</v>
      </c>
      <c r="L17" s="51" t="s">
        <v>61</v>
      </c>
      <c r="M17" s="51" t="s">
        <v>70</v>
      </c>
      <c r="N17" s="51" t="s">
        <v>71</v>
      </c>
      <c r="O17" s="46" t="s">
        <v>62</v>
      </c>
      <c r="P17" s="46" t="s">
        <v>334</v>
      </c>
      <c r="Q17" s="47" t="s">
        <v>335</v>
      </c>
    </row>
    <row r="18" spans="6:23" ht="55.9" customHeight="1" thickBot="1" x14ac:dyDescent="0.3">
      <c r="F18" s="4"/>
      <c r="G18" s="7" t="s">
        <v>156</v>
      </c>
      <c r="H18" s="55"/>
      <c r="I18" s="55"/>
      <c r="J18" s="55"/>
      <c r="K18" s="55"/>
      <c r="L18" s="53">
        <f>(((H18*I18*J18*K18)*350)/50)*1.1</f>
        <v>0</v>
      </c>
      <c r="M18" s="53">
        <f>H18*I18*J18*K18*0.8*1.05</f>
        <v>0</v>
      </c>
      <c r="N18" s="53">
        <f>H18*I18*J18*K18*0.4*1.05</f>
        <v>0</v>
      </c>
      <c r="O18" s="54">
        <f t="shared" ref="O18:O27" si="0">L18/20</f>
        <v>0</v>
      </c>
      <c r="P18" s="54">
        <f>(M18*1700)/1000</f>
        <v>0</v>
      </c>
      <c r="Q18" s="54">
        <f>(N18*1600)/1000</f>
        <v>0</v>
      </c>
      <c r="S18" s="5"/>
    </row>
    <row r="19" spans="6:23" ht="55.9" customHeight="1" thickBot="1" x14ac:dyDescent="0.3">
      <c r="F19" s="4"/>
      <c r="G19" s="7" t="s">
        <v>157</v>
      </c>
      <c r="H19" s="55"/>
      <c r="I19" s="55"/>
      <c r="J19" s="55"/>
      <c r="K19" s="55"/>
      <c r="L19" s="53">
        <f t="shared" ref="L19:L27" si="1">(((H19*I19*J19*K19)*350)/50)*1.1</f>
        <v>0</v>
      </c>
      <c r="M19" s="53">
        <f t="shared" ref="M19:M27" si="2">H19*I19*J19*K19*0.8*1.05</f>
        <v>0</v>
      </c>
      <c r="N19" s="53">
        <f t="shared" ref="N19:N27" si="3">H19*I19*J19*K19*0.4*1.05</f>
        <v>0</v>
      </c>
      <c r="O19" s="54">
        <f t="shared" si="0"/>
        <v>0</v>
      </c>
      <c r="P19" s="54">
        <f t="shared" ref="P19:P27" si="4">(M19*1700)/1000</f>
        <v>0</v>
      </c>
      <c r="Q19" s="54">
        <f t="shared" ref="Q19:Q27" si="5">(N19*1600)/1000</f>
        <v>0</v>
      </c>
      <c r="R19" s="1"/>
      <c r="U19" s="5"/>
    </row>
    <row r="20" spans="6:23" ht="55.9" customHeight="1" thickBot="1" x14ac:dyDescent="0.3">
      <c r="F20" s="4"/>
      <c r="G20" s="7" t="s">
        <v>158</v>
      </c>
      <c r="H20" s="55"/>
      <c r="I20" s="55"/>
      <c r="J20" s="55"/>
      <c r="K20" s="55"/>
      <c r="L20" s="53">
        <f t="shared" si="1"/>
        <v>0</v>
      </c>
      <c r="M20" s="53">
        <f t="shared" si="2"/>
        <v>0</v>
      </c>
      <c r="N20" s="53">
        <f t="shared" si="3"/>
        <v>0</v>
      </c>
      <c r="O20" s="54">
        <f t="shared" si="0"/>
        <v>0</v>
      </c>
      <c r="P20" s="54">
        <f t="shared" si="4"/>
        <v>0</v>
      </c>
      <c r="Q20" s="54">
        <f t="shared" si="5"/>
        <v>0</v>
      </c>
      <c r="R20" s="1"/>
      <c r="U20" s="5"/>
    </row>
    <row r="21" spans="6:23" ht="55.9" customHeight="1" thickBot="1" x14ac:dyDescent="0.3">
      <c r="F21" s="4"/>
      <c r="G21" s="7" t="s">
        <v>159</v>
      </c>
      <c r="H21" s="55"/>
      <c r="I21" s="55"/>
      <c r="J21" s="55"/>
      <c r="K21" s="55"/>
      <c r="L21" s="53">
        <f t="shared" si="1"/>
        <v>0</v>
      </c>
      <c r="M21" s="53">
        <f t="shared" si="2"/>
        <v>0</v>
      </c>
      <c r="N21" s="53">
        <f t="shared" si="3"/>
        <v>0</v>
      </c>
      <c r="O21" s="54">
        <f t="shared" si="0"/>
        <v>0</v>
      </c>
      <c r="P21" s="54">
        <f t="shared" si="4"/>
        <v>0</v>
      </c>
      <c r="Q21" s="54">
        <f t="shared" si="5"/>
        <v>0</v>
      </c>
      <c r="R21" s="2"/>
      <c r="U21" s="5"/>
    </row>
    <row r="22" spans="6:23" ht="55.9" customHeight="1" thickBot="1" x14ac:dyDescent="0.3">
      <c r="F22" s="4"/>
      <c r="G22" s="7" t="s">
        <v>160</v>
      </c>
      <c r="H22" s="55"/>
      <c r="I22" s="55"/>
      <c r="J22" s="55"/>
      <c r="K22" s="55"/>
      <c r="L22" s="53">
        <f t="shared" si="1"/>
        <v>0</v>
      </c>
      <c r="M22" s="53">
        <f t="shared" si="2"/>
        <v>0</v>
      </c>
      <c r="N22" s="53">
        <f t="shared" si="3"/>
        <v>0</v>
      </c>
      <c r="O22" s="54">
        <f t="shared" si="0"/>
        <v>0</v>
      </c>
      <c r="P22" s="54">
        <f t="shared" si="4"/>
        <v>0</v>
      </c>
      <c r="Q22" s="54">
        <f t="shared" si="5"/>
        <v>0</v>
      </c>
      <c r="R22" s="1"/>
      <c r="U22" s="16"/>
    </row>
    <row r="23" spans="6:23" ht="55.9" customHeight="1" thickBot="1" x14ac:dyDescent="0.3">
      <c r="F23" s="4"/>
      <c r="G23" s="7" t="s">
        <v>161</v>
      </c>
      <c r="H23" s="55"/>
      <c r="I23" s="55"/>
      <c r="J23" s="55"/>
      <c r="K23" s="55"/>
      <c r="L23" s="53">
        <f t="shared" si="1"/>
        <v>0</v>
      </c>
      <c r="M23" s="53">
        <f t="shared" si="2"/>
        <v>0</v>
      </c>
      <c r="N23" s="53">
        <f t="shared" si="3"/>
        <v>0</v>
      </c>
      <c r="O23" s="54">
        <f t="shared" si="0"/>
        <v>0</v>
      </c>
      <c r="P23" s="54">
        <f t="shared" si="4"/>
        <v>0</v>
      </c>
      <c r="Q23" s="54">
        <f t="shared" si="5"/>
        <v>0</v>
      </c>
    </row>
    <row r="24" spans="6:23" ht="55.9" customHeight="1" thickBot="1" x14ac:dyDescent="0.3">
      <c r="F24" s="4"/>
      <c r="G24" s="7" t="s">
        <v>162</v>
      </c>
      <c r="H24" s="55"/>
      <c r="I24" s="55"/>
      <c r="J24" s="55"/>
      <c r="K24" s="55"/>
      <c r="L24" s="53">
        <f t="shared" si="1"/>
        <v>0</v>
      </c>
      <c r="M24" s="53">
        <f t="shared" si="2"/>
        <v>0</v>
      </c>
      <c r="N24" s="53">
        <f t="shared" si="3"/>
        <v>0</v>
      </c>
      <c r="O24" s="54">
        <f t="shared" si="0"/>
        <v>0</v>
      </c>
      <c r="P24" s="54">
        <f t="shared" si="4"/>
        <v>0</v>
      </c>
      <c r="Q24" s="54">
        <f t="shared" si="5"/>
        <v>0</v>
      </c>
    </row>
    <row r="25" spans="6:23" ht="55.9" customHeight="1" thickBot="1" x14ac:dyDescent="0.3">
      <c r="F25" s="1"/>
      <c r="G25" s="7" t="s">
        <v>163</v>
      </c>
      <c r="H25" s="55"/>
      <c r="I25" s="55"/>
      <c r="J25" s="55"/>
      <c r="K25" s="55"/>
      <c r="L25" s="53">
        <f t="shared" si="1"/>
        <v>0</v>
      </c>
      <c r="M25" s="53">
        <f t="shared" si="2"/>
        <v>0</v>
      </c>
      <c r="N25" s="53">
        <f t="shared" si="3"/>
        <v>0</v>
      </c>
      <c r="O25" s="54">
        <f t="shared" si="0"/>
        <v>0</v>
      </c>
      <c r="P25" s="54">
        <f t="shared" si="4"/>
        <v>0</v>
      </c>
      <c r="Q25" s="54">
        <f t="shared" si="5"/>
        <v>0</v>
      </c>
    </row>
    <row r="26" spans="6:23" ht="55.9" customHeight="1" thickBot="1" x14ac:dyDescent="0.3">
      <c r="F26" s="1"/>
      <c r="G26" s="7" t="s">
        <v>164</v>
      </c>
      <c r="H26" s="55"/>
      <c r="I26" s="55"/>
      <c r="J26" s="55"/>
      <c r="K26" s="55"/>
      <c r="L26" s="53">
        <f t="shared" si="1"/>
        <v>0</v>
      </c>
      <c r="M26" s="53">
        <f t="shared" si="2"/>
        <v>0</v>
      </c>
      <c r="N26" s="53">
        <f t="shared" si="3"/>
        <v>0</v>
      </c>
      <c r="O26" s="54">
        <f t="shared" si="0"/>
        <v>0</v>
      </c>
      <c r="P26" s="54">
        <f t="shared" si="4"/>
        <v>0</v>
      </c>
      <c r="Q26" s="54">
        <f t="shared" si="5"/>
        <v>0</v>
      </c>
      <c r="S26" s="1"/>
      <c r="V26" s="1"/>
      <c r="W26" s="1"/>
    </row>
    <row r="27" spans="6:23" ht="55.9" customHeight="1" thickBot="1" x14ac:dyDescent="0.3">
      <c r="F27" s="1"/>
      <c r="G27" s="7" t="s">
        <v>165</v>
      </c>
      <c r="H27" s="55"/>
      <c r="I27" s="55"/>
      <c r="J27" s="55"/>
      <c r="K27" s="55"/>
      <c r="L27" s="53">
        <f t="shared" si="1"/>
        <v>0</v>
      </c>
      <c r="M27" s="53">
        <f t="shared" si="2"/>
        <v>0</v>
      </c>
      <c r="N27" s="53">
        <f t="shared" si="3"/>
        <v>0</v>
      </c>
      <c r="O27" s="54">
        <f t="shared" si="0"/>
        <v>0</v>
      </c>
      <c r="P27" s="54">
        <f t="shared" si="4"/>
        <v>0</v>
      </c>
      <c r="Q27" s="54">
        <f t="shared" si="5"/>
        <v>0</v>
      </c>
      <c r="S27" s="1"/>
      <c r="V27" s="1"/>
    </row>
    <row r="28" spans="6:23" ht="20.25" thickBot="1" x14ac:dyDescent="0.3">
      <c r="F28" s="1"/>
      <c r="G28" s="62"/>
      <c r="S28" s="2"/>
    </row>
    <row r="29" spans="6:23" ht="31.15" customHeight="1" thickBot="1" x14ac:dyDescent="0.45">
      <c r="F29" s="4"/>
      <c r="K29" s="76" t="s">
        <v>223</v>
      </c>
      <c r="L29" s="73">
        <f>SUM(L18:L27)</f>
        <v>0</v>
      </c>
      <c r="M29" s="73">
        <f t="shared" ref="M29:Q29" si="6">SUM(M18:M27)</f>
        <v>0</v>
      </c>
      <c r="N29" s="73">
        <f t="shared" si="6"/>
        <v>0</v>
      </c>
      <c r="O29" s="73">
        <f t="shared" si="6"/>
        <v>0</v>
      </c>
      <c r="P29" s="73">
        <f t="shared" si="6"/>
        <v>0</v>
      </c>
      <c r="Q29" s="73">
        <f t="shared" si="6"/>
        <v>0</v>
      </c>
      <c r="S29" s="1"/>
    </row>
    <row r="30" spans="6:23" ht="19.5" x14ac:dyDescent="0.25">
      <c r="F30" s="4"/>
      <c r="K30" s="62"/>
    </row>
    <row r="31" spans="6:23" ht="19.5" x14ac:dyDescent="0.25">
      <c r="F31" s="4"/>
      <c r="O31" s="24"/>
    </row>
    <row r="32" spans="6:23" ht="55.9" customHeight="1" x14ac:dyDescent="0.25">
      <c r="F32" s="4"/>
    </row>
    <row r="33" spans="6:25" ht="19.5" x14ac:dyDescent="0.25">
      <c r="F33" s="4"/>
      <c r="U33" s="1"/>
      <c r="V33" s="1"/>
      <c r="Y33" s="1"/>
    </row>
    <row r="34" spans="6:25" ht="19.5" x14ac:dyDescent="0.25">
      <c r="F34" s="4"/>
      <c r="V34" s="1"/>
      <c r="Y34" s="1"/>
    </row>
    <row r="35" spans="6:25" ht="19.5" x14ac:dyDescent="0.25">
      <c r="F35" s="4"/>
      <c r="V35" s="1"/>
      <c r="Y35" s="1"/>
    </row>
    <row r="36" spans="6:25" ht="19.5" x14ac:dyDescent="0.25">
      <c r="Y36" s="1"/>
    </row>
    <row r="37" spans="6:25" ht="19.5" x14ac:dyDescent="0.25">
      <c r="W37" s="1"/>
    </row>
    <row r="38" spans="6:25" ht="19.5" x14ac:dyDescent="0.25">
      <c r="W38" s="1"/>
    </row>
    <row r="39" spans="6:25" ht="55.9" customHeight="1" x14ac:dyDescent="0.25">
      <c r="W39" s="1"/>
    </row>
    <row r="40" spans="6:25" ht="19.5" x14ac:dyDescent="0.25">
      <c r="Y40" s="1"/>
    </row>
    <row r="41" spans="6:25" ht="19.5" x14ac:dyDescent="0.25">
      <c r="W41">
        <f>1.5/W42</f>
        <v>25</v>
      </c>
      <c r="Y41" s="1"/>
    </row>
    <row r="42" spans="6:25" x14ac:dyDescent="0.25">
      <c r="W42">
        <f>0.2*0.3</f>
        <v>0.06</v>
      </c>
    </row>
    <row r="43" spans="6:25" ht="19.5" x14ac:dyDescent="0.25">
      <c r="F43" s="4"/>
      <c r="T43" s="1"/>
      <c r="U43" s="1">
        <f>W42/1.5</f>
        <v>0.04</v>
      </c>
      <c r="V43" s="1"/>
      <c r="W43" s="1"/>
      <c r="X43" s="4"/>
      <c r="Y43" s="1"/>
    </row>
    <row r="44" spans="6:25" ht="19.5" x14ac:dyDescent="0.25">
      <c r="F44" s="1"/>
      <c r="T44" s="1"/>
      <c r="U44" s="1">
        <f>1/U45</f>
        <v>138.88888888888889</v>
      </c>
      <c r="V44" s="1"/>
      <c r="W44" s="1"/>
      <c r="X44" s="1"/>
      <c r="Y44" s="1"/>
    </row>
    <row r="45" spans="6:25" ht="55.9" customHeight="1" x14ac:dyDescent="0.25">
      <c r="F45" s="4"/>
      <c r="U45">
        <f>0.3*0.3*0.08</f>
        <v>7.1999999999999998E-3</v>
      </c>
    </row>
    <row r="46" spans="6:25" ht="19.5" x14ac:dyDescent="0.25">
      <c r="F46" s="4"/>
      <c r="W46">
        <f>U45/1</f>
        <v>7.1999999999999998E-3</v>
      </c>
    </row>
    <row r="47" spans="6:25" ht="19.5" x14ac:dyDescent="0.25">
      <c r="F47" s="4"/>
    </row>
    <row r="48" spans="6:25" x14ac:dyDescent="0.25">
      <c r="U48">
        <f>1.5/0.2*0.3</f>
        <v>2.25</v>
      </c>
    </row>
    <row r="49" spans="21:27" ht="19.5" x14ac:dyDescent="0.25">
      <c r="W49" s="1"/>
    </row>
    <row r="50" spans="21:27" ht="19.5" x14ac:dyDescent="0.25">
      <c r="W50" s="2"/>
    </row>
    <row r="51" spans="21:27" ht="55.9" customHeight="1" x14ac:dyDescent="0.25">
      <c r="W51" s="2"/>
    </row>
    <row r="52" spans="21:27" ht="19.5" x14ac:dyDescent="0.25">
      <c r="U52">
        <f>U54/U53</f>
        <v>110.97058823529412</v>
      </c>
      <c r="V52">
        <f>1/U53</f>
        <v>98.039215686274503</v>
      </c>
      <c r="W52" s="2"/>
    </row>
    <row r="53" spans="21:27" ht="19.5" x14ac:dyDescent="0.25">
      <c r="U53">
        <f>0.17*0.3*0.2</f>
        <v>1.0200000000000001E-2</v>
      </c>
      <c r="W53" s="2"/>
    </row>
    <row r="54" spans="21:27" ht="19.5" x14ac:dyDescent="0.25">
      <c r="U54">
        <f>1.1*1.05*0.98</f>
        <v>1.1319000000000001</v>
      </c>
      <c r="W54" s="2"/>
    </row>
    <row r="55" spans="21:27" ht="19.5" x14ac:dyDescent="0.25">
      <c r="W55" s="1"/>
    </row>
    <row r="56" spans="21:27" ht="19.5" x14ac:dyDescent="0.25">
      <c r="U56">
        <f>400/1.5</f>
        <v>266.66666666666669</v>
      </c>
      <c r="W56" s="1"/>
    </row>
    <row r="57" spans="21:27" ht="55.9" customHeight="1" x14ac:dyDescent="0.25">
      <c r="W57" s="1"/>
    </row>
    <row r="58" spans="21:27" ht="19.5" x14ac:dyDescent="0.25">
      <c r="X58" s="1"/>
    </row>
    <row r="59" spans="21:27" ht="19.5" x14ac:dyDescent="0.25">
      <c r="X59" s="1"/>
    </row>
    <row r="60" spans="21:27" ht="19.5" x14ac:dyDescent="0.25">
      <c r="V60">
        <f>266*1.5</f>
        <v>399</v>
      </c>
      <c r="X60" s="1"/>
    </row>
    <row r="61" spans="21:27" ht="19.5" x14ac:dyDescent="0.25">
      <c r="X61" s="1"/>
    </row>
    <row r="62" spans="21:27" ht="19.5" x14ac:dyDescent="0.25">
      <c r="X62" s="1"/>
    </row>
    <row r="63" spans="21:27" ht="55.9" customHeight="1" x14ac:dyDescent="0.25">
      <c r="X63" s="1"/>
    </row>
    <row r="64" spans="21:27" ht="19.5" x14ac:dyDescent="0.25">
      <c r="AA64" s="1"/>
    </row>
    <row r="65" spans="19:30" ht="19.5" x14ac:dyDescent="0.25">
      <c r="AA65" s="1"/>
    </row>
    <row r="66" spans="19:30" ht="19.5" x14ac:dyDescent="0.25">
      <c r="AC66" s="1"/>
    </row>
    <row r="67" spans="19:30" ht="21" customHeight="1" x14ac:dyDescent="0.25">
      <c r="S67" s="2"/>
      <c r="AD67" s="1"/>
    </row>
    <row r="68" spans="19:30" ht="21" customHeight="1" x14ac:dyDescent="0.25">
      <c r="AB68" s="1"/>
    </row>
    <row r="69" spans="19:30" ht="19.5" x14ac:dyDescent="0.25">
      <c r="Z69" s="1"/>
    </row>
    <row r="70" spans="19:30" ht="19.5" x14ac:dyDescent="0.25">
      <c r="Z70" s="1"/>
    </row>
    <row r="71" spans="19:30" ht="19.5" x14ac:dyDescent="0.25">
      <c r="Z71" s="1"/>
    </row>
    <row r="72" spans="19:30" ht="19.5" x14ac:dyDescent="0.25">
      <c r="AD72" s="1"/>
    </row>
    <row r="73" spans="19:30" ht="19.5" x14ac:dyDescent="0.25">
      <c r="AD73" s="1"/>
    </row>
    <row r="74" spans="19:30" ht="20.25" thickBot="1" x14ac:dyDescent="0.3">
      <c r="S74" s="1"/>
    </row>
    <row r="75" spans="19:30" ht="19.5" x14ac:dyDescent="0.25">
      <c r="S75" s="14" t="s">
        <v>5</v>
      </c>
    </row>
    <row r="76" spans="19:30" ht="20.25" thickBot="1" x14ac:dyDescent="0.3">
      <c r="S76" s="15" t="s">
        <v>32</v>
      </c>
    </row>
    <row r="77" spans="19:30" ht="20.25" thickBot="1" x14ac:dyDescent="0.3">
      <c r="S77" s="8" t="e">
        <f>#REF!/10</f>
        <v>#REF!</v>
      </c>
    </row>
    <row r="78" spans="19:30" ht="20.25" thickBot="1" x14ac:dyDescent="0.3">
      <c r="S78" s="8" t="e">
        <f>#REF!/10</f>
        <v>#REF!</v>
      </c>
    </row>
    <row r="79" spans="19:30" ht="20.25" thickBot="1" x14ac:dyDescent="0.3">
      <c r="S79" s="8" t="e">
        <f>#REF!/10</f>
        <v>#REF!</v>
      </c>
    </row>
    <row r="82" spans="19:19" ht="20.25" thickBot="1" x14ac:dyDescent="0.3">
      <c r="S82" s="1"/>
    </row>
    <row r="83" spans="19:19" ht="19.5" x14ac:dyDescent="0.25">
      <c r="S83" s="14" t="s">
        <v>5</v>
      </c>
    </row>
    <row r="84" spans="19:19" ht="18.600000000000001" customHeight="1" thickBot="1" x14ac:dyDescent="0.3">
      <c r="S84" s="15" t="s">
        <v>32</v>
      </c>
    </row>
    <row r="85" spans="19:19" ht="19.149999999999999" customHeight="1" thickBot="1" x14ac:dyDescent="0.3">
      <c r="S85" s="8" t="e">
        <f>#REF!/10</f>
        <v>#REF!</v>
      </c>
    </row>
    <row r="86" spans="19:19" ht="20.25" thickBot="1" x14ac:dyDescent="0.3">
      <c r="S86" s="8" t="e">
        <f>#REF!/10</f>
        <v>#REF!</v>
      </c>
    </row>
    <row r="87" spans="19:19" ht="20.25" thickBot="1" x14ac:dyDescent="0.3">
      <c r="S87" s="8" t="e">
        <f>#REF!/10</f>
        <v>#REF!</v>
      </c>
    </row>
    <row r="90" spans="19:19" ht="20.25" thickBot="1" x14ac:dyDescent="0.3">
      <c r="S90" s="1"/>
    </row>
    <row r="91" spans="19:19" ht="19.5" x14ac:dyDescent="0.25">
      <c r="S91" s="14" t="s">
        <v>5</v>
      </c>
    </row>
    <row r="92" spans="19:19" ht="20.25" thickBot="1" x14ac:dyDescent="0.3">
      <c r="S92" s="15" t="s">
        <v>32</v>
      </c>
    </row>
    <row r="93" spans="19:19" ht="20.25" thickBot="1" x14ac:dyDescent="0.3">
      <c r="S93" s="8" t="e">
        <f>#REF!/10</f>
        <v>#REF!</v>
      </c>
    </row>
    <row r="94" spans="19:19" ht="20.25" thickBot="1" x14ac:dyDescent="0.3">
      <c r="S94" s="8" t="e">
        <f>#REF!/10</f>
        <v>#REF!</v>
      </c>
    </row>
    <row r="95" spans="19:19" ht="20.25" thickBot="1" x14ac:dyDescent="0.3">
      <c r="S95" s="8" t="e">
        <f>#REF!/10</f>
        <v>#REF!</v>
      </c>
    </row>
    <row r="98" spans="19:24" ht="19.5" x14ac:dyDescent="0.25">
      <c r="S98" s="1"/>
      <c r="T98" s="1"/>
    </row>
    <row r="100" spans="19:24" x14ac:dyDescent="0.25">
      <c r="W100">
        <f>3.5*3</f>
        <v>10.5</v>
      </c>
    </row>
    <row r="102" spans="19:24" x14ac:dyDescent="0.25">
      <c r="X102">
        <f>10.5/12</f>
        <v>0.875</v>
      </c>
    </row>
  </sheetData>
  <sheetProtection algorithmName="SHA-512" hashValue="JqEYh0zJMDTfDEsdnAu1paNlgl7dBKhCBD2JmI1RrkBy4sapL2wNrpekxplOGWZfpHbq+3T6Xh0sLmEPOJqgvw==" saltValue="7yAqn/VBE/xYMuk5nLt0PQ==" spinCount="100000" sheet="1" objects="1" scenarios="1"/>
  <mergeCells count="1">
    <mergeCell ref="G16:G17"/>
  </mergeCells>
  <pageMargins left="0.7" right="0.7" top="0.75" bottom="0.75" header="0.3" footer="0.3"/>
  <pageSetup paperSize="9" scale="7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AF102"/>
  <sheetViews>
    <sheetView topLeftCell="A12" zoomScale="60" zoomScaleNormal="60" workbookViewId="0">
      <selection activeCell="H18" sqref="H18:K27"/>
    </sheetView>
  </sheetViews>
  <sheetFormatPr baseColWidth="10" defaultColWidth="8.85546875" defaultRowHeight="15" x14ac:dyDescent="0.25"/>
  <cols>
    <col min="6" max="6" width="2.85546875" customWidth="1"/>
    <col min="7" max="7" width="25.7109375" customWidth="1"/>
    <col min="8" max="8" width="20.85546875" customWidth="1"/>
    <col min="9" max="9" width="22" customWidth="1"/>
    <col min="10" max="10" width="17.42578125" customWidth="1"/>
    <col min="11" max="11" width="17" customWidth="1"/>
    <col min="12" max="12" width="22" customWidth="1"/>
    <col min="13" max="14" width="20.5703125" customWidth="1"/>
    <col min="15" max="15" width="25.140625" customWidth="1"/>
    <col min="16" max="16" width="26.140625" customWidth="1"/>
    <col min="17" max="17" width="23.5703125" customWidth="1"/>
    <col min="18" max="18" width="19.5703125" customWidth="1"/>
    <col min="19" max="19" width="14.5703125" customWidth="1"/>
    <col min="20" max="20" width="20.5703125" customWidth="1"/>
    <col min="21" max="21" width="24" customWidth="1"/>
    <col min="22" max="22" width="18" customWidth="1"/>
    <col min="23" max="27" width="20.5703125" customWidth="1"/>
    <col min="28" max="28" width="18.42578125" customWidth="1"/>
    <col min="29" max="29" width="23" customWidth="1"/>
    <col min="30" max="30" width="24.7109375" customWidth="1"/>
    <col min="31" max="31" width="22.140625" customWidth="1"/>
    <col min="32" max="32" width="16.85546875" customWidth="1"/>
    <col min="33" max="33" width="2.7109375" customWidth="1"/>
  </cols>
  <sheetData>
    <row r="4" spans="6:32" ht="19.5" x14ac:dyDescent="0.25">
      <c r="F4" s="1"/>
      <c r="K4" s="2"/>
      <c r="L4" s="2"/>
      <c r="AD4" s="2"/>
      <c r="AE4" s="1"/>
    </row>
    <row r="5" spans="6:32" ht="19.5" x14ac:dyDescent="0.25">
      <c r="AE5" s="1"/>
      <c r="AF5" s="1"/>
    </row>
    <row r="6" spans="6:32" ht="19.5" x14ac:dyDescent="0.25"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F6" s="2"/>
    </row>
    <row r="7" spans="6:32" ht="19.5" x14ac:dyDescent="0.25">
      <c r="F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E7" s="2"/>
    </row>
    <row r="8" spans="6:32" ht="19.5" x14ac:dyDescent="0.25">
      <c r="F8" s="1"/>
      <c r="N8" s="2"/>
      <c r="O8" s="17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E8" s="2"/>
    </row>
    <row r="9" spans="6:32" ht="23.25" x14ac:dyDescent="0.35">
      <c r="F9" s="1"/>
      <c r="J9" s="16"/>
      <c r="K9" s="158" t="s">
        <v>400</v>
      </c>
      <c r="L9" s="158"/>
      <c r="M9" s="158"/>
      <c r="N9" s="159"/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2"/>
      <c r="AC9" s="2"/>
      <c r="AE9" s="2"/>
    </row>
    <row r="10" spans="6:32" ht="19.5" x14ac:dyDescent="0.25">
      <c r="F10" s="1"/>
      <c r="G10" s="2"/>
      <c r="H10" s="2"/>
      <c r="I10" s="17"/>
      <c r="J10" s="17"/>
      <c r="K10" s="2"/>
      <c r="L10" s="2"/>
      <c r="M10" s="2"/>
      <c r="N10" s="17"/>
      <c r="O10" s="1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E10" s="2"/>
    </row>
    <row r="11" spans="6:32" ht="19.5" x14ac:dyDescent="0.25">
      <c r="F11" s="2"/>
      <c r="G11" s="2"/>
      <c r="H11" s="2"/>
      <c r="I11" s="2"/>
      <c r="J11" s="2"/>
      <c r="M11" s="1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E11" s="1"/>
    </row>
    <row r="12" spans="6:32" ht="23.25" x14ac:dyDescent="0.35">
      <c r="F12" s="1"/>
      <c r="G12" s="1"/>
      <c r="H12" s="96" t="s">
        <v>368</v>
      </c>
      <c r="I12" s="96"/>
      <c r="J12" s="96"/>
      <c r="K12" s="96"/>
      <c r="L12" s="9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E12" s="1"/>
    </row>
    <row r="13" spans="6:32" ht="19.5" x14ac:dyDescent="0.25">
      <c r="F13" s="1"/>
      <c r="G13" s="1"/>
      <c r="H13" s="1"/>
      <c r="I13" s="1"/>
      <c r="J13" s="1"/>
      <c r="K13" s="3"/>
      <c r="L13" s="3"/>
      <c r="M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E13" s="1"/>
    </row>
    <row r="14" spans="6:32" ht="22.5" x14ac:dyDescent="0.3">
      <c r="F14" s="1"/>
      <c r="G14" s="1"/>
      <c r="H14" s="98" t="s">
        <v>45</v>
      </c>
      <c r="I14" s="20"/>
      <c r="J14" s="1"/>
      <c r="K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6:32" ht="20.25" thickBot="1" x14ac:dyDescent="0.3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6:32" ht="19.5" x14ac:dyDescent="0.25">
      <c r="F16" s="1"/>
      <c r="G16" s="191" t="s">
        <v>0</v>
      </c>
      <c r="H16" s="9" t="s">
        <v>2</v>
      </c>
      <c r="I16" s="9" t="s">
        <v>4</v>
      </c>
      <c r="J16" s="9" t="s">
        <v>19</v>
      </c>
      <c r="K16" s="12" t="s">
        <v>14</v>
      </c>
      <c r="L16" s="50" t="s">
        <v>60</v>
      </c>
      <c r="M16" s="50" t="s">
        <v>60</v>
      </c>
      <c r="N16" s="50" t="s">
        <v>60</v>
      </c>
      <c r="O16" s="45" t="s">
        <v>60</v>
      </c>
      <c r="P16" s="45" t="s">
        <v>60</v>
      </c>
      <c r="Q16" s="45" t="s">
        <v>60</v>
      </c>
      <c r="R16" s="11"/>
    </row>
    <row r="17" spans="6:23" ht="23.25" thickBot="1" x14ac:dyDescent="0.3">
      <c r="F17" s="1"/>
      <c r="G17" s="192"/>
      <c r="H17" s="10" t="s">
        <v>24</v>
      </c>
      <c r="I17" s="10" t="s">
        <v>24</v>
      </c>
      <c r="J17" s="10" t="s">
        <v>24</v>
      </c>
      <c r="K17" s="10" t="s">
        <v>24</v>
      </c>
      <c r="L17" s="51" t="s">
        <v>61</v>
      </c>
      <c r="M17" s="51" t="s">
        <v>70</v>
      </c>
      <c r="N17" s="51" t="s">
        <v>71</v>
      </c>
      <c r="O17" s="46" t="s">
        <v>62</v>
      </c>
      <c r="P17" s="46" t="s">
        <v>334</v>
      </c>
      <c r="Q17" s="47" t="s">
        <v>335</v>
      </c>
    </row>
    <row r="18" spans="6:23" ht="55.9" customHeight="1" thickBot="1" x14ac:dyDescent="0.3">
      <c r="F18" s="4"/>
      <c r="G18" s="7" t="s">
        <v>146</v>
      </c>
      <c r="H18" s="55"/>
      <c r="I18" s="55"/>
      <c r="J18" s="55"/>
      <c r="K18" s="55"/>
      <c r="L18" s="53">
        <f>(((H18*I18*J18*K18)*350)/50)*1.05</f>
        <v>0</v>
      </c>
      <c r="M18" s="53">
        <f>H18*I18*J18*K18*0.8*1.05</f>
        <v>0</v>
      </c>
      <c r="N18" s="53">
        <f>H18*I18*J18*K18*0.4*1.05</f>
        <v>0</v>
      </c>
      <c r="O18" s="54">
        <f t="shared" ref="O18:O27" si="0">L18/20</f>
        <v>0</v>
      </c>
      <c r="P18" s="54">
        <f>(M18*1700)/1000</f>
        <v>0</v>
      </c>
      <c r="Q18" s="54">
        <f>(N18*1600)/1000</f>
        <v>0</v>
      </c>
      <c r="S18" s="5"/>
    </row>
    <row r="19" spans="6:23" ht="55.9" customHeight="1" thickBot="1" x14ac:dyDescent="0.3">
      <c r="F19" s="4"/>
      <c r="G19" s="7" t="s">
        <v>147</v>
      </c>
      <c r="H19" s="55"/>
      <c r="I19" s="55"/>
      <c r="J19" s="55"/>
      <c r="K19" s="55"/>
      <c r="L19" s="53">
        <f t="shared" ref="L19:L27" si="1">(((H19*I19*J19*K19)*350)/50)*1.05</f>
        <v>0</v>
      </c>
      <c r="M19" s="53">
        <f t="shared" ref="M19:M27" si="2">H19*I19*J19*K19*0.8*1.05</f>
        <v>0</v>
      </c>
      <c r="N19" s="53">
        <f t="shared" ref="N19:N27" si="3">H19*I19*J19*K19*0.4*1.05</f>
        <v>0</v>
      </c>
      <c r="O19" s="54">
        <f t="shared" si="0"/>
        <v>0</v>
      </c>
      <c r="P19" s="54">
        <f t="shared" ref="P19:P27" si="4">(M19*1700)/1000</f>
        <v>0</v>
      </c>
      <c r="Q19" s="54">
        <f t="shared" ref="Q19:Q27" si="5">(N19*1600)/1000</f>
        <v>0</v>
      </c>
      <c r="R19" s="1"/>
      <c r="U19" s="5"/>
    </row>
    <row r="20" spans="6:23" ht="55.9" customHeight="1" thickBot="1" x14ac:dyDescent="0.3">
      <c r="F20" s="4"/>
      <c r="G20" s="7" t="s">
        <v>148</v>
      </c>
      <c r="H20" s="55"/>
      <c r="I20" s="55"/>
      <c r="J20" s="55"/>
      <c r="K20" s="55"/>
      <c r="L20" s="53">
        <f t="shared" si="1"/>
        <v>0</v>
      </c>
      <c r="M20" s="53">
        <f t="shared" si="2"/>
        <v>0</v>
      </c>
      <c r="N20" s="53">
        <f t="shared" si="3"/>
        <v>0</v>
      </c>
      <c r="O20" s="54">
        <f t="shared" si="0"/>
        <v>0</v>
      </c>
      <c r="P20" s="54">
        <f t="shared" si="4"/>
        <v>0</v>
      </c>
      <c r="Q20" s="54">
        <f t="shared" si="5"/>
        <v>0</v>
      </c>
      <c r="R20" s="1"/>
      <c r="U20" s="5"/>
    </row>
    <row r="21" spans="6:23" ht="55.9" customHeight="1" thickBot="1" x14ac:dyDescent="0.3">
      <c r="F21" s="4"/>
      <c r="G21" s="7" t="s">
        <v>149</v>
      </c>
      <c r="H21" s="55"/>
      <c r="I21" s="55"/>
      <c r="J21" s="55"/>
      <c r="K21" s="55"/>
      <c r="L21" s="53">
        <f t="shared" si="1"/>
        <v>0</v>
      </c>
      <c r="M21" s="53">
        <f t="shared" si="2"/>
        <v>0</v>
      </c>
      <c r="N21" s="53">
        <f t="shared" si="3"/>
        <v>0</v>
      </c>
      <c r="O21" s="54">
        <f t="shared" si="0"/>
        <v>0</v>
      </c>
      <c r="P21" s="54">
        <f t="shared" si="4"/>
        <v>0</v>
      </c>
      <c r="Q21" s="54">
        <f t="shared" si="5"/>
        <v>0</v>
      </c>
      <c r="R21" s="2"/>
      <c r="U21" s="5"/>
    </row>
    <row r="22" spans="6:23" ht="55.9" customHeight="1" thickBot="1" x14ac:dyDescent="0.3">
      <c r="F22" s="4"/>
      <c r="G22" s="7" t="s">
        <v>150</v>
      </c>
      <c r="H22" s="55"/>
      <c r="I22" s="55"/>
      <c r="J22" s="55"/>
      <c r="K22" s="55"/>
      <c r="L22" s="53">
        <f t="shared" si="1"/>
        <v>0</v>
      </c>
      <c r="M22" s="53">
        <f t="shared" si="2"/>
        <v>0</v>
      </c>
      <c r="N22" s="53">
        <f t="shared" si="3"/>
        <v>0</v>
      </c>
      <c r="O22" s="54">
        <f t="shared" si="0"/>
        <v>0</v>
      </c>
      <c r="P22" s="54">
        <f t="shared" si="4"/>
        <v>0</v>
      </c>
      <c r="Q22" s="54">
        <f t="shared" si="5"/>
        <v>0</v>
      </c>
      <c r="R22" s="1"/>
      <c r="U22" s="16"/>
    </row>
    <row r="23" spans="6:23" ht="55.9" customHeight="1" thickBot="1" x14ac:dyDescent="0.3">
      <c r="F23" s="4"/>
      <c r="G23" s="7" t="s">
        <v>151</v>
      </c>
      <c r="H23" s="55"/>
      <c r="I23" s="55"/>
      <c r="J23" s="55"/>
      <c r="K23" s="55"/>
      <c r="L23" s="53">
        <f t="shared" si="1"/>
        <v>0</v>
      </c>
      <c r="M23" s="53">
        <f t="shared" si="2"/>
        <v>0</v>
      </c>
      <c r="N23" s="53">
        <f t="shared" si="3"/>
        <v>0</v>
      </c>
      <c r="O23" s="54">
        <f t="shared" si="0"/>
        <v>0</v>
      </c>
      <c r="P23" s="54">
        <f t="shared" si="4"/>
        <v>0</v>
      </c>
      <c r="Q23" s="54">
        <f t="shared" si="5"/>
        <v>0</v>
      </c>
    </row>
    <row r="24" spans="6:23" ht="55.9" customHeight="1" thickBot="1" x14ac:dyDescent="0.3">
      <c r="F24" s="4"/>
      <c r="G24" s="7" t="s">
        <v>152</v>
      </c>
      <c r="H24" s="55"/>
      <c r="I24" s="55"/>
      <c r="J24" s="55"/>
      <c r="K24" s="55"/>
      <c r="L24" s="53">
        <f t="shared" si="1"/>
        <v>0</v>
      </c>
      <c r="M24" s="53">
        <f t="shared" si="2"/>
        <v>0</v>
      </c>
      <c r="N24" s="53">
        <f t="shared" si="3"/>
        <v>0</v>
      </c>
      <c r="O24" s="54">
        <f t="shared" si="0"/>
        <v>0</v>
      </c>
      <c r="P24" s="54">
        <f t="shared" si="4"/>
        <v>0</v>
      </c>
      <c r="Q24" s="54">
        <f t="shared" si="5"/>
        <v>0</v>
      </c>
    </row>
    <row r="25" spans="6:23" ht="55.9" customHeight="1" thickBot="1" x14ac:dyDescent="0.3">
      <c r="F25" s="1"/>
      <c r="G25" s="7" t="s">
        <v>153</v>
      </c>
      <c r="H25" s="55"/>
      <c r="I25" s="55"/>
      <c r="J25" s="55"/>
      <c r="K25" s="55"/>
      <c r="L25" s="53">
        <f t="shared" si="1"/>
        <v>0</v>
      </c>
      <c r="M25" s="53">
        <f t="shared" si="2"/>
        <v>0</v>
      </c>
      <c r="N25" s="53">
        <f t="shared" si="3"/>
        <v>0</v>
      </c>
      <c r="O25" s="54">
        <f t="shared" si="0"/>
        <v>0</v>
      </c>
      <c r="P25" s="54">
        <f t="shared" si="4"/>
        <v>0</v>
      </c>
      <c r="Q25" s="54">
        <f t="shared" si="5"/>
        <v>0</v>
      </c>
    </row>
    <row r="26" spans="6:23" ht="55.9" customHeight="1" thickBot="1" x14ac:dyDescent="0.3">
      <c r="F26" s="1"/>
      <c r="G26" s="7" t="s">
        <v>154</v>
      </c>
      <c r="H26" s="55"/>
      <c r="I26" s="55"/>
      <c r="J26" s="55"/>
      <c r="K26" s="55"/>
      <c r="L26" s="53">
        <f t="shared" si="1"/>
        <v>0</v>
      </c>
      <c r="M26" s="53">
        <f t="shared" si="2"/>
        <v>0</v>
      </c>
      <c r="N26" s="53">
        <f t="shared" si="3"/>
        <v>0</v>
      </c>
      <c r="O26" s="54">
        <f t="shared" si="0"/>
        <v>0</v>
      </c>
      <c r="P26" s="54">
        <f t="shared" si="4"/>
        <v>0</v>
      </c>
      <c r="Q26" s="54">
        <f t="shared" si="5"/>
        <v>0</v>
      </c>
      <c r="S26" s="1"/>
      <c r="V26" s="1"/>
      <c r="W26" s="1"/>
    </row>
    <row r="27" spans="6:23" ht="55.9" customHeight="1" thickBot="1" x14ac:dyDescent="0.3">
      <c r="F27" s="1"/>
      <c r="G27" s="7" t="s">
        <v>155</v>
      </c>
      <c r="H27" s="55"/>
      <c r="I27" s="55"/>
      <c r="J27" s="55"/>
      <c r="K27" s="55"/>
      <c r="L27" s="53">
        <f t="shared" si="1"/>
        <v>0</v>
      </c>
      <c r="M27" s="53">
        <f t="shared" si="2"/>
        <v>0</v>
      </c>
      <c r="N27" s="53">
        <f t="shared" si="3"/>
        <v>0</v>
      </c>
      <c r="O27" s="54">
        <f t="shared" si="0"/>
        <v>0</v>
      </c>
      <c r="P27" s="54">
        <f t="shared" si="4"/>
        <v>0</v>
      </c>
      <c r="Q27" s="54">
        <f t="shared" si="5"/>
        <v>0</v>
      </c>
      <c r="S27" s="1"/>
      <c r="V27" s="1"/>
    </row>
    <row r="28" spans="6:23" ht="20.25" thickBot="1" x14ac:dyDescent="0.3">
      <c r="F28" s="1"/>
      <c r="G28" s="62"/>
      <c r="S28" s="2"/>
    </row>
    <row r="29" spans="6:23" ht="31.15" customHeight="1" thickBot="1" x14ac:dyDescent="0.45">
      <c r="F29" s="4"/>
      <c r="K29" s="76" t="s">
        <v>223</v>
      </c>
      <c r="L29" s="73">
        <f>SUM(L18:L27)</f>
        <v>0</v>
      </c>
      <c r="M29" s="73">
        <f t="shared" ref="M29:Q29" si="6">SUM(M18:M27)</f>
        <v>0</v>
      </c>
      <c r="N29" s="73">
        <f t="shared" si="6"/>
        <v>0</v>
      </c>
      <c r="O29" s="73">
        <f t="shared" si="6"/>
        <v>0</v>
      </c>
      <c r="P29" s="73">
        <f t="shared" si="6"/>
        <v>0</v>
      </c>
      <c r="Q29" s="73">
        <f t="shared" si="6"/>
        <v>0</v>
      </c>
      <c r="S29" s="1"/>
    </row>
    <row r="30" spans="6:23" ht="19.5" x14ac:dyDescent="0.25">
      <c r="F30" s="4"/>
      <c r="K30" s="62"/>
    </row>
    <row r="31" spans="6:23" ht="19.5" x14ac:dyDescent="0.25">
      <c r="F31" s="4"/>
      <c r="O31" s="24"/>
    </row>
    <row r="32" spans="6:23" ht="55.9" customHeight="1" x14ac:dyDescent="0.25">
      <c r="F32" s="4"/>
    </row>
    <row r="33" spans="6:25" ht="19.5" x14ac:dyDescent="0.25">
      <c r="F33" s="4"/>
      <c r="U33" s="1"/>
      <c r="V33" s="1"/>
      <c r="Y33" s="1"/>
    </row>
    <row r="34" spans="6:25" ht="19.5" x14ac:dyDescent="0.25">
      <c r="F34" s="4"/>
      <c r="V34" s="1"/>
      <c r="Y34" s="1"/>
    </row>
    <row r="35" spans="6:25" ht="19.5" x14ac:dyDescent="0.25">
      <c r="F35" s="4"/>
      <c r="V35" s="1"/>
      <c r="Y35" s="1"/>
    </row>
    <row r="36" spans="6:25" ht="19.5" x14ac:dyDescent="0.25">
      <c r="Y36" s="1"/>
    </row>
    <row r="37" spans="6:25" ht="19.5" x14ac:dyDescent="0.25">
      <c r="W37" s="1"/>
    </row>
    <row r="38" spans="6:25" ht="19.5" x14ac:dyDescent="0.25">
      <c r="W38" s="1"/>
    </row>
    <row r="39" spans="6:25" ht="55.9" customHeight="1" x14ac:dyDescent="0.25">
      <c r="W39" s="1"/>
    </row>
    <row r="40" spans="6:25" ht="19.5" x14ac:dyDescent="0.25">
      <c r="Y40" s="1"/>
    </row>
    <row r="41" spans="6:25" ht="19.5" x14ac:dyDescent="0.25">
      <c r="W41">
        <f>1.5/W42</f>
        <v>25</v>
      </c>
      <c r="Y41" s="1"/>
    </row>
    <row r="42" spans="6:25" x14ac:dyDescent="0.25">
      <c r="W42">
        <f>0.2*0.3</f>
        <v>0.06</v>
      </c>
    </row>
    <row r="43" spans="6:25" ht="19.5" x14ac:dyDescent="0.25">
      <c r="F43" s="4"/>
      <c r="T43" s="1"/>
      <c r="U43" s="1">
        <f>W42/1.5</f>
        <v>0.04</v>
      </c>
      <c r="V43" s="1"/>
      <c r="W43" s="1"/>
      <c r="X43" s="4"/>
      <c r="Y43" s="1"/>
    </row>
    <row r="44" spans="6:25" ht="19.5" x14ac:dyDescent="0.25">
      <c r="F44" s="1"/>
      <c r="T44" s="1"/>
      <c r="U44" s="1">
        <f>1/U45</f>
        <v>138.88888888888889</v>
      </c>
      <c r="V44" s="1"/>
      <c r="W44" s="1"/>
      <c r="X44" s="1"/>
      <c r="Y44" s="1"/>
    </row>
    <row r="45" spans="6:25" ht="55.9" customHeight="1" x14ac:dyDescent="0.25">
      <c r="F45" s="4"/>
      <c r="U45">
        <f>0.3*0.3*0.08</f>
        <v>7.1999999999999998E-3</v>
      </c>
    </row>
    <row r="46" spans="6:25" ht="19.5" x14ac:dyDescent="0.25">
      <c r="F46" s="4"/>
      <c r="W46">
        <f>U45/1</f>
        <v>7.1999999999999998E-3</v>
      </c>
    </row>
    <row r="47" spans="6:25" ht="19.5" x14ac:dyDescent="0.25">
      <c r="F47" s="4"/>
    </row>
    <row r="48" spans="6:25" x14ac:dyDescent="0.25">
      <c r="U48">
        <f>1.5/0.2*0.3</f>
        <v>2.25</v>
      </c>
    </row>
    <row r="49" spans="21:27" ht="19.5" x14ac:dyDescent="0.25">
      <c r="W49" s="1"/>
    </row>
    <row r="50" spans="21:27" ht="19.5" x14ac:dyDescent="0.25">
      <c r="W50" s="2"/>
    </row>
    <row r="51" spans="21:27" ht="55.9" customHeight="1" x14ac:dyDescent="0.25">
      <c r="W51" s="2"/>
    </row>
    <row r="52" spans="21:27" ht="19.5" x14ac:dyDescent="0.25">
      <c r="U52">
        <f>U54/U53</f>
        <v>110.97058823529412</v>
      </c>
      <c r="V52">
        <f>1/U53</f>
        <v>98.039215686274503</v>
      </c>
      <c r="W52" s="2"/>
    </row>
    <row r="53" spans="21:27" ht="19.5" x14ac:dyDescent="0.25">
      <c r="U53">
        <f>0.17*0.3*0.2</f>
        <v>1.0200000000000001E-2</v>
      </c>
      <c r="W53" s="2"/>
    </row>
    <row r="54" spans="21:27" ht="19.5" x14ac:dyDescent="0.25">
      <c r="U54">
        <f>1.1*1.05*0.98</f>
        <v>1.1319000000000001</v>
      </c>
      <c r="W54" s="2"/>
    </row>
    <row r="55" spans="21:27" ht="19.5" x14ac:dyDescent="0.25">
      <c r="W55" s="1"/>
    </row>
    <row r="56" spans="21:27" ht="19.5" x14ac:dyDescent="0.25">
      <c r="U56">
        <f>400/1.5</f>
        <v>266.66666666666669</v>
      </c>
      <c r="W56" s="1"/>
    </row>
    <row r="57" spans="21:27" ht="55.9" customHeight="1" x14ac:dyDescent="0.25">
      <c r="W57" s="1"/>
    </row>
    <row r="58" spans="21:27" ht="19.5" x14ac:dyDescent="0.25">
      <c r="X58" s="1"/>
    </row>
    <row r="59" spans="21:27" ht="19.5" x14ac:dyDescent="0.25">
      <c r="X59" s="1"/>
    </row>
    <row r="60" spans="21:27" ht="19.5" x14ac:dyDescent="0.25">
      <c r="V60">
        <f>266*1.5</f>
        <v>399</v>
      </c>
      <c r="X60" s="1"/>
    </row>
    <row r="61" spans="21:27" ht="19.5" x14ac:dyDescent="0.25">
      <c r="X61" s="1"/>
    </row>
    <row r="62" spans="21:27" ht="19.5" x14ac:dyDescent="0.25">
      <c r="X62" s="1"/>
    </row>
    <row r="63" spans="21:27" ht="55.9" customHeight="1" x14ac:dyDescent="0.25">
      <c r="X63" s="1"/>
    </row>
    <row r="64" spans="21:27" ht="19.5" x14ac:dyDescent="0.25">
      <c r="AA64" s="1"/>
    </row>
    <row r="65" spans="19:30" ht="19.5" x14ac:dyDescent="0.25">
      <c r="AA65" s="1"/>
    </row>
    <row r="66" spans="19:30" ht="19.5" x14ac:dyDescent="0.25">
      <c r="AC66" s="1"/>
    </row>
    <row r="67" spans="19:30" ht="21" customHeight="1" x14ac:dyDescent="0.25">
      <c r="S67" s="2"/>
      <c r="AD67" s="1"/>
    </row>
    <row r="68" spans="19:30" ht="21" customHeight="1" x14ac:dyDescent="0.25">
      <c r="AB68" s="1"/>
    </row>
    <row r="69" spans="19:30" ht="19.5" x14ac:dyDescent="0.25">
      <c r="Z69" s="1"/>
    </row>
    <row r="70" spans="19:30" ht="19.5" x14ac:dyDescent="0.25">
      <c r="Z70" s="1"/>
    </row>
    <row r="71" spans="19:30" ht="19.5" x14ac:dyDescent="0.25">
      <c r="Z71" s="1"/>
    </row>
    <row r="72" spans="19:30" ht="19.5" x14ac:dyDescent="0.25">
      <c r="AD72" s="1"/>
    </row>
    <row r="73" spans="19:30" ht="19.5" x14ac:dyDescent="0.25">
      <c r="AD73" s="1"/>
    </row>
    <row r="74" spans="19:30" ht="20.25" thickBot="1" x14ac:dyDescent="0.3">
      <c r="S74" s="1"/>
    </row>
    <row r="75" spans="19:30" ht="19.5" x14ac:dyDescent="0.25">
      <c r="S75" s="14" t="s">
        <v>5</v>
      </c>
    </row>
    <row r="76" spans="19:30" ht="20.25" thickBot="1" x14ac:dyDescent="0.3">
      <c r="S76" s="15" t="s">
        <v>32</v>
      </c>
    </row>
    <row r="77" spans="19:30" ht="20.25" thickBot="1" x14ac:dyDescent="0.3">
      <c r="S77" s="8" t="e">
        <f>#REF!/10</f>
        <v>#REF!</v>
      </c>
    </row>
    <row r="78" spans="19:30" ht="20.25" thickBot="1" x14ac:dyDescent="0.3">
      <c r="S78" s="8" t="e">
        <f>#REF!/10</f>
        <v>#REF!</v>
      </c>
    </row>
    <row r="79" spans="19:30" ht="20.25" thickBot="1" x14ac:dyDescent="0.3">
      <c r="S79" s="8" t="e">
        <f>#REF!/10</f>
        <v>#REF!</v>
      </c>
    </row>
    <row r="82" spans="19:19" ht="20.25" thickBot="1" x14ac:dyDescent="0.3">
      <c r="S82" s="1"/>
    </row>
    <row r="83" spans="19:19" ht="19.5" x14ac:dyDescent="0.25">
      <c r="S83" s="14" t="s">
        <v>5</v>
      </c>
    </row>
    <row r="84" spans="19:19" ht="18.600000000000001" customHeight="1" thickBot="1" x14ac:dyDescent="0.3">
      <c r="S84" s="15" t="s">
        <v>32</v>
      </c>
    </row>
    <row r="85" spans="19:19" ht="19.149999999999999" customHeight="1" thickBot="1" x14ac:dyDescent="0.3">
      <c r="S85" s="8" t="e">
        <f>#REF!/10</f>
        <v>#REF!</v>
      </c>
    </row>
    <row r="86" spans="19:19" ht="20.25" thickBot="1" x14ac:dyDescent="0.3">
      <c r="S86" s="8" t="e">
        <f>#REF!/10</f>
        <v>#REF!</v>
      </c>
    </row>
    <row r="87" spans="19:19" ht="20.25" thickBot="1" x14ac:dyDescent="0.3">
      <c r="S87" s="8" t="e">
        <f>#REF!/10</f>
        <v>#REF!</v>
      </c>
    </row>
    <row r="90" spans="19:19" ht="20.25" thickBot="1" x14ac:dyDescent="0.3">
      <c r="S90" s="1"/>
    </row>
    <row r="91" spans="19:19" ht="19.5" x14ac:dyDescent="0.25">
      <c r="S91" s="14" t="s">
        <v>5</v>
      </c>
    </row>
    <row r="92" spans="19:19" ht="20.25" thickBot="1" x14ac:dyDescent="0.3">
      <c r="S92" s="15" t="s">
        <v>32</v>
      </c>
    </row>
    <row r="93" spans="19:19" ht="20.25" thickBot="1" x14ac:dyDescent="0.3">
      <c r="S93" s="8" t="e">
        <f>#REF!/10</f>
        <v>#REF!</v>
      </c>
    </row>
    <row r="94" spans="19:19" ht="20.25" thickBot="1" x14ac:dyDescent="0.3">
      <c r="S94" s="8" t="e">
        <f>#REF!/10</f>
        <v>#REF!</v>
      </c>
    </row>
    <row r="95" spans="19:19" ht="20.25" thickBot="1" x14ac:dyDescent="0.3">
      <c r="S95" s="8" t="e">
        <f>#REF!/10</f>
        <v>#REF!</v>
      </c>
    </row>
    <row r="98" spans="19:24" ht="19.5" x14ac:dyDescent="0.25">
      <c r="S98" s="1"/>
      <c r="T98" s="1"/>
    </row>
    <row r="100" spans="19:24" x14ac:dyDescent="0.25">
      <c r="W100">
        <f>3.5*3</f>
        <v>10.5</v>
      </c>
    </row>
    <row r="102" spans="19:24" x14ac:dyDescent="0.25">
      <c r="X102">
        <f>10.5/12</f>
        <v>0.875</v>
      </c>
    </row>
  </sheetData>
  <sheetProtection algorithmName="SHA-512" hashValue="D7jdtOAzNKh5SW+k5qosLt29KHMKQgLho7rOwJOqrDVieNb2XIv6vKcSweZqCbng7bZQLt67EypOhMBxlarYgA==" saltValue="MHA4pZqPVvLFbR69X+Ff7w==" spinCount="100000" sheet="1" objects="1" scenarios="1"/>
  <mergeCells count="1">
    <mergeCell ref="G16:G17"/>
  </mergeCells>
  <pageMargins left="0.7" right="0.7" top="0.75" bottom="0.75" header="0.3" footer="0.3"/>
  <pageSetup paperSize="9" scale="7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AF102"/>
  <sheetViews>
    <sheetView topLeftCell="A7" zoomScale="60" zoomScaleNormal="60" workbookViewId="0">
      <selection activeCell="H18" sqref="H18:K18"/>
    </sheetView>
  </sheetViews>
  <sheetFormatPr baseColWidth="10" defaultColWidth="8.85546875" defaultRowHeight="15" x14ac:dyDescent="0.25"/>
  <cols>
    <col min="6" max="6" width="2.85546875" customWidth="1"/>
    <col min="7" max="7" width="25.7109375" customWidth="1"/>
    <col min="8" max="8" width="17.5703125" customWidth="1"/>
    <col min="9" max="9" width="20.85546875" customWidth="1"/>
    <col min="10" max="10" width="17.42578125" customWidth="1"/>
    <col min="11" max="11" width="17" customWidth="1"/>
    <col min="12" max="12" width="22" customWidth="1"/>
    <col min="13" max="14" width="20.5703125" customWidth="1"/>
    <col min="15" max="15" width="25.42578125" customWidth="1"/>
    <col min="16" max="16" width="25.140625" customWidth="1"/>
    <col min="17" max="17" width="23.5703125" customWidth="1"/>
    <col min="18" max="18" width="19.5703125" customWidth="1"/>
    <col min="19" max="19" width="14.5703125" customWidth="1"/>
    <col min="20" max="20" width="20.5703125" customWidth="1"/>
    <col min="21" max="21" width="24" customWidth="1"/>
    <col min="22" max="22" width="18" customWidth="1"/>
    <col min="23" max="27" width="20.5703125" customWidth="1"/>
    <col min="28" max="28" width="18.42578125" customWidth="1"/>
    <col min="29" max="29" width="23" customWidth="1"/>
    <col min="30" max="30" width="24.7109375" customWidth="1"/>
    <col min="31" max="31" width="22.140625" customWidth="1"/>
    <col min="32" max="32" width="16.85546875" customWidth="1"/>
    <col min="33" max="33" width="2.7109375" customWidth="1"/>
  </cols>
  <sheetData>
    <row r="4" spans="6:32" ht="19.5" x14ac:dyDescent="0.25">
      <c r="F4" s="1"/>
      <c r="K4" s="2"/>
      <c r="L4" s="2"/>
      <c r="AD4" s="2"/>
      <c r="AE4" s="1"/>
    </row>
    <row r="5" spans="6:32" ht="19.5" x14ac:dyDescent="0.25">
      <c r="AE5" s="1"/>
      <c r="AF5" s="1"/>
    </row>
    <row r="6" spans="6:32" ht="19.5" x14ac:dyDescent="0.25"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F6" s="2"/>
    </row>
    <row r="7" spans="6:32" ht="19.5" x14ac:dyDescent="0.25">
      <c r="F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E7" s="2"/>
    </row>
    <row r="8" spans="6:32" ht="19.5" x14ac:dyDescent="0.25">
      <c r="F8" s="1"/>
      <c r="O8" s="17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E8" s="2"/>
    </row>
    <row r="9" spans="6:32" ht="19.5" x14ac:dyDescent="0.25">
      <c r="F9" s="1"/>
      <c r="J9" s="16"/>
      <c r="M9" s="1"/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2"/>
      <c r="AC9" s="2"/>
      <c r="AE9" s="2"/>
    </row>
    <row r="10" spans="6:32" ht="23.25" x14ac:dyDescent="0.35">
      <c r="F10" s="1"/>
      <c r="G10" s="2"/>
      <c r="H10" s="2"/>
      <c r="I10" s="17"/>
      <c r="J10" s="17"/>
      <c r="K10" s="158" t="s">
        <v>400</v>
      </c>
      <c r="L10" s="158"/>
      <c r="M10" s="158"/>
      <c r="N10" s="159"/>
      <c r="O10" s="1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E10" s="2"/>
    </row>
    <row r="11" spans="6:32" ht="19.5" x14ac:dyDescent="0.25">
      <c r="F11" s="2"/>
      <c r="G11" s="2"/>
      <c r="H11" s="2"/>
      <c r="I11" s="2"/>
      <c r="J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E11" s="1"/>
    </row>
    <row r="12" spans="6:32" ht="21" x14ac:dyDescent="0.35">
      <c r="F12" s="1"/>
      <c r="G12" s="1"/>
      <c r="H12" s="95" t="s">
        <v>369</v>
      </c>
      <c r="I12" s="48"/>
      <c r="J12" s="48"/>
      <c r="K12" s="48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E12" s="1"/>
    </row>
    <row r="13" spans="6:32" ht="19.5" x14ac:dyDescent="0.25">
      <c r="F13" s="1"/>
      <c r="G13" s="1"/>
      <c r="H13" s="1"/>
      <c r="I13" s="1"/>
      <c r="J13" s="17"/>
      <c r="K13" s="17"/>
      <c r="L13" s="3"/>
      <c r="M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E13" s="1"/>
    </row>
    <row r="14" spans="6:32" ht="22.5" x14ac:dyDescent="0.3">
      <c r="F14" s="1"/>
      <c r="G14" s="1"/>
      <c r="H14" s="98" t="s">
        <v>45</v>
      </c>
      <c r="I14" s="20"/>
      <c r="K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6:32" ht="20.25" thickBot="1" x14ac:dyDescent="0.3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6:32" ht="19.5" x14ac:dyDescent="0.25">
      <c r="F16" s="1"/>
      <c r="G16" s="191" t="s">
        <v>0</v>
      </c>
      <c r="H16" s="9" t="s">
        <v>2</v>
      </c>
      <c r="I16" s="9" t="s">
        <v>4</v>
      </c>
      <c r="J16" s="9" t="s">
        <v>19</v>
      </c>
      <c r="K16" s="12" t="s">
        <v>14</v>
      </c>
      <c r="L16" s="50" t="s">
        <v>60</v>
      </c>
      <c r="M16" s="50" t="s">
        <v>60</v>
      </c>
      <c r="N16" s="50" t="s">
        <v>60</v>
      </c>
      <c r="O16" s="45" t="s">
        <v>60</v>
      </c>
      <c r="P16" s="45" t="s">
        <v>60</v>
      </c>
      <c r="Q16" s="45" t="s">
        <v>60</v>
      </c>
      <c r="R16" s="11"/>
    </row>
    <row r="17" spans="6:23" ht="23.25" thickBot="1" x14ac:dyDescent="0.3">
      <c r="F17" s="1"/>
      <c r="G17" s="192"/>
      <c r="H17" s="10" t="s">
        <v>26</v>
      </c>
      <c r="I17" s="10" t="s">
        <v>26</v>
      </c>
      <c r="J17" s="10" t="s">
        <v>26</v>
      </c>
      <c r="K17" s="10" t="s">
        <v>26</v>
      </c>
      <c r="L17" s="51" t="s">
        <v>61</v>
      </c>
      <c r="M17" s="51" t="s">
        <v>70</v>
      </c>
      <c r="N17" s="51" t="s">
        <v>71</v>
      </c>
      <c r="O17" s="46" t="s">
        <v>62</v>
      </c>
      <c r="P17" s="46" t="s">
        <v>334</v>
      </c>
      <c r="Q17" s="47" t="s">
        <v>335</v>
      </c>
    </row>
    <row r="18" spans="6:23" ht="55.9" customHeight="1" thickBot="1" x14ac:dyDescent="0.3">
      <c r="F18" s="4"/>
      <c r="G18" s="7" t="s">
        <v>166</v>
      </c>
      <c r="H18" s="55"/>
      <c r="I18" s="55"/>
      <c r="J18" s="55"/>
      <c r="K18" s="55"/>
      <c r="L18" s="53">
        <f>(((H18*I18*J18*K18)*350)/50)*1.1</f>
        <v>0</v>
      </c>
      <c r="M18" s="53">
        <f>H18*I18*J18*K18*0.8*1.05</f>
        <v>0</v>
      </c>
      <c r="N18" s="53">
        <f>H18*I18*J18*K18*0.4*1.05</f>
        <v>0</v>
      </c>
      <c r="O18" s="54">
        <f t="shared" ref="O18:O27" si="0">L18/20</f>
        <v>0</v>
      </c>
      <c r="P18" s="54">
        <f>(M18*1700)/1000</f>
        <v>0</v>
      </c>
      <c r="Q18" s="54">
        <f>(N18*1600)/1000</f>
        <v>0</v>
      </c>
      <c r="S18" s="5"/>
    </row>
    <row r="19" spans="6:23" ht="55.9" customHeight="1" thickBot="1" x14ac:dyDescent="0.3">
      <c r="F19" s="4"/>
      <c r="G19" s="7" t="s">
        <v>167</v>
      </c>
      <c r="H19" s="55"/>
      <c r="I19" s="55"/>
      <c r="J19" s="55"/>
      <c r="K19" s="55"/>
      <c r="L19" s="53">
        <f t="shared" ref="L19:L27" si="1">(((H19*I19*J19*K19)*350)/50)*1.1</f>
        <v>0</v>
      </c>
      <c r="M19" s="53">
        <f t="shared" ref="M19:M27" si="2">H19*I19*J19*K19*0.8*1.05</f>
        <v>0</v>
      </c>
      <c r="N19" s="53">
        <f t="shared" ref="N19:N27" si="3">H19*I19*J19*K19*0.4*1.05</f>
        <v>0</v>
      </c>
      <c r="O19" s="54">
        <f t="shared" si="0"/>
        <v>0</v>
      </c>
      <c r="P19" s="54">
        <f t="shared" ref="P19:P27" si="4">(M19*1700)/1000</f>
        <v>0</v>
      </c>
      <c r="Q19" s="54">
        <f t="shared" ref="Q19:Q27" si="5">(N19*1600)/1000</f>
        <v>0</v>
      </c>
      <c r="R19" s="1"/>
      <c r="U19" s="5"/>
    </row>
    <row r="20" spans="6:23" ht="55.9" customHeight="1" thickBot="1" x14ac:dyDescent="0.3">
      <c r="F20" s="4"/>
      <c r="G20" s="7" t="s">
        <v>168</v>
      </c>
      <c r="H20" s="55"/>
      <c r="I20" s="55"/>
      <c r="J20" s="55"/>
      <c r="K20" s="55"/>
      <c r="L20" s="53">
        <f t="shared" si="1"/>
        <v>0</v>
      </c>
      <c r="M20" s="53">
        <f t="shared" si="2"/>
        <v>0</v>
      </c>
      <c r="N20" s="53">
        <f t="shared" si="3"/>
        <v>0</v>
      </c>
      <c r="O20" s="54">
        <f t="shared" si="0"/>
        <v>0</v>
      </c>
      <c r="P20" s="54">
        <f t="shared" si="4"/>
        <v>0</v>
      </c>
      <c r="Q20" s="54">
        <f t="shared" si="5"/>
        <v>0</v>
      </c>
      <c r="R20" s="1"/>
      <c r="U20" s="5"/>
    </row>
    <row r="21" spans="6:23" ht="55.9" customHeight="1" thickBot="1" x14ac:dyDescent="0.3">
      <c r="F21" s="4"/>
      <c r="G21" s="7" t="s">
        <v>169</v>
      </c>
      <c r="H21" s="55"/>
      <c r="I21" s="55"/>
      <c r="J21" s="55"/>
      <c r="K21" s="55"/>
      <c r="L21" s="53">
        <f t="shared" si="1"/>
        <v>0</v>
      </c>
      <c r="M21" s="53">
        <f t="shared" si="2"/>
        <v>0</v>
      </c>
      <c r="N21" s="53">
        <f t="shared" si="3"/>
        <v>0</v>
      </c>
      <c r="O21" s="54">
        <f t="shared" si="0"/>
        <v>0</v>
      </c>
      <c r="P21" s="54">
        <f t="shared" si="4"/>
        <v>0</v>
      </c>
      <c r="Q21" s="54">
        <f t="shared" si="5"/>
        <v>0</v>
      </c>
      <c r="R21" s="2"/>
      <c r="U21" s="5"/>
    </row>
    <row r="22" spans="6:23" ht="55.9" customHeight="1" thickBot="1" x14ac:dyDescent="0.3">
      <c r="F22" s="4"/>
      <c r="G22" s="7" t="s">
        <v>170</v>
      </c>
      <c r="H22" s="55"/>
      <c r="I22" s="55"/>
      <c r="J22" s="55"/>
      <c r="K22" s="55"/>
      <c r="L22" s="53">
        <f t="shared" si="1"/>
        <v>0</v>
      </c>
      <c r="M22" s="53">
        <f t="shared" si="2"/>
        <v>0</v>
      </c>
      <c r="N22" s="53">
        <f t="shared" si="3"/>
        <v>0</v>
      </c>
      <c r="O22" s="54">
        <f t="shared" si="0"/>
        <v>0</v>
      </c>
      <c r="P22" s="54">
        <f t="shared" si="4"/>
        <v>0</v>
      </c>
      <c r="Q22" s="54">
        <f t="shared" si="5"/>
        <v>0</v>
      </c>
      <c r="R22" s="1"/>
      <c r="U22" s="16"/>
    </row>
    <row r="23" spans="6:23" ht="55.9" customHeight="1" thickBot="1" x14ac:dyDescent="0.3">
      <c r="F23" s="4"/>
      <c r="G23" s="7" t="s">
        <v>171</v>
      </c>
      <c r="H23" s="55"/>
      <c r="I23" s="55"/>
      <c r="J23" s="55"/>
      <c r="K23" s="55"/>
      <c r="L23" s="53">
        <f t="shared" si="1"/>
        <v>0</v>
      </c>
      <c r="M23" s="53">
        <f t="shared" si="2"/>
        <v>0</v>
      </c>
      <c r="N23" s="53">
        <f t="shared" si="3"/>
        <v>0</v>
      </c>
      <c r="O23" s="54">
        <f t="shared" si="0"/>
        <v>0</v>
      </c>
      <c r="P23" s="54">
        <f t="shared" si="4"/>
        <v>0</v>
      </c>
      <c r="Q23" s="54">
        <f t="shared" si="5"/>
        <v>0</v>
      </c>
    </row>
    <row r="24" spans="6:23" ht="55.9" customHeight="1" thickBot="1" x14ac:dyDescent="0.3">
      <c r="F24" s="4"/>
      <c r="G24" s="7" t="s">
        <v>172</v>
      </c>
      <c r="H24" s="55">
        <v>1</v>
      </c>
      <c r="I24" s="55">
        <v>2</v>
      </c>
      <c r="J24" s="55">
        <v>3</v>
      </c>
      <c r="K24" s="55">
        <v>3</v>
      </c>
      <c r="L24" s="53">
        <f t="shared" si="1"/>
        <v>138.60000000000002</v>
      </c>
      <c r="M24" s="53">
        <f t="shared" si="2"/>
        <v>15.120000000000001</v>
      </c>
      <c r="N24" s="53">
        <f t="shared" si="3"/>
        <v>7.5600000000000005</v>
      </c>
      <c r="O24" s="54">
        <f t="shared" si="0"/>
        <v>6.9300000000000015</v>
      </c>
      <c r="P24" s="54">
        <f t="shared" si="4"/>
        <v>25.704000000000001</v>
      </c>
      <c r="Q24" s="54">
        <f t="shared" si="5"/>
        <v>12.096</v>
      </c>
    </row>
    <row r="25" spans="6:23" ht="55.9" customHeight="1" thickBot="1" x14ac:dyDescent="0.3">
      <c r="F25" s="1"/>
      <c r="G25" s="7" t="s">
        <v>173</v>
      </c>
      <c r="H25" s="55"/>
      <c r="I25" s="55"/>
      <c r="J25" s="55"/>
      <c r="K25" s="55"/>
      <c r="L25" s="53">
        <f t="shared" si="1"/>
        <v>0</v>
      </c>
      <c r="M25" s="53">
        <f t="shared" si="2"/>
        <v>0</v>
      </c>
      <c r="N25" s="53">
        <f t="shared" si="3"/>
        <v>0</v>
      </c>
      <c r="O25" s="54">
        <f t="shared" si="0"/>
        <v>0</v>
      </c>
      <c r="P25" s="54">
        <f t="shared" si="4"/>
        <v>0</v>
      </c>
      <c r="Q25" s="54">
        <f t="shared" si="5"/>
        <v>0</v>
      </c>
    </row>
    <row r="26" spans="6:23" ht="55.9" customHeight="1" thickBot="1" x14ac:dyDescent="0.3">
      <c r="F26" s="1"/>
      <c r="G26" s="7" t="s">
        <v>174</v>
      </c>
      <c r="H26" s="55"/>
      <c r="I26" s="55"/>
      <c r="J26" s="55"/>
      <c r="K26" s="55"/>
      <c r="L26" s="53">
        <f t="shared" si="1"/>
        <v>0</v>
      </c>
      <c r="M26" s="53">
        <f t="shared" si="2"/>
        <v>0</v>
      </c>
      <c r="N26" s="53">
        <f t="shared" si="3"/>
        <v>0</v>
      </c>
      <c r="O26" s="54">
        <f t="shared" si="0"/>
        <v>0</v>
      </c>
      <c r="P26" s="54">
        <f t="shared" si="4"/>
        <v>0</v>
      </c>
      <c r="Q26" s="54">
        <f t="shared" si="5"/>
        <v>0</v>
      </c>
      <c r="S26" s="1"/>
      <c r="V26" s="1"/>
      <c r="W26" s="1"/>
    </row>
    <row r="27" spans="6:23" ht="55.9" customHeight="1" thickBot="1" x14ac:dyDescent="0.3">
      <c r="F27" s="1"/>
      <c r="G27" s="7" t="s">
        <v>175</v>
      </c>
      <c r="H27" s="55"/>
      <c r="I27" s="55"/>
      <c r="J27" s="55"/>
      <c r="K27" s="55"/>
      <c r="L27" s="53">
        <f t="shared" si="1"/>
        <v>0</v>
      </c>
      <c r="M27" s="53">
        <f t="shared" si="2"/>
        <v>0</v>
      </c>
      <c r="N27" s="53">
        <f t="shared" si="3"/>
        <v>0</v>
      </c>
      <c r="O27" s="54">
        <f t="shared" si="0"/>
        <v>0</v>
      </c>
      <c r="P27" s="54">
        <f t="shared" si="4"/>
        <v>0</v>
      </c>
      <c r="Q27" s="54">
        <f t="shared" si="5"/>
        <v>0</v>
      </c>
      <c r="S27" s="1"/>
      <c r="V27" s="1"/>
    </row>
    <row r="28" spans="6:23" ht="20.25" thickBot="1" x14ac:dyDescent="0.3">
      <c r="F28" s="1"/>
      <c r="G28" s="62"/>
      <c r="S28" s="2"/>
    </row>
    <row r="29" spans="6:23" ht="31.15" customHeight="1" thickBot="1" x14ac:dyDescent="0.3">
      <c r="F29" s="4"/>
      <c r="K29" s="75" t="s">
        <v>223</v>
      </c>
      <c r="L29" s="73">
        <f>SUM(L18:L27)</f>
        <v>138.60000000000002</v>
      </c>
      <c r="M29" s="73">
        <f t="shared" ref="M29:Q29" si="6">SUM(M18:M27)</f>
        <v>15.120000000000001</v>
      </c>
      <c r="N29" s="73">
        <f t="shared" si="6"/>
        <v>7.5600000000000005</v>
      </c>
      <c r="O29" s="73">
        <f t="shared" si="6"/>
        <v>6.9300000000000015</v>
      </c>
      <c r="P29" s="73">
        <f t="shared" si="6"/>
        <v>25.704000000000001</v>
      </c>
      <c r="Q29" s="73">
        <f t="shared" si="6"/>
        <v>12.096</v>
      </c>
      <c r="S29" s="1"/>
    </row>
    <row r="30" spans="6:23" ht="19.5" x14ac:dyDescent="0.25">
      <c r="F30" s="4"/>
      <c r="K30" s="62"/>
    </row>
    <row r="31" spans="6:23" ht="19.5" x14ac:dyDescent="0.25">
      <c r="F31" s="4"/>
      <c r="O31" s="24"/>
    </row>
    <row r="32" spans="6:23" ht="55.9" customHeight="1" x14ac:dyDescent="0.25">
      <c r="F32" s="4"/>
    </row>
    <row r="33" spans="6:25" ht="19.5" x14ac:dyDescent="0.25">
      <c r="F33" s="4"/>
      <c r="U33" s="1"/>
      <c r="V33" s="1"/>
      <c r="Y33" s="1"/>
    </row>
    <row r="34" spans="6:25" ht="19.5" x14ac:dyDescent="0.25">
      <c r="F34" s="4"/>
      <c r="V34" s="1"/>
      <c r="Y34" s="1"/>
    </row>
    <row r="35" spans="6:25" ht="19.5" x14ac:dyDescent="0.25">
      <c r="F35" s="4"/>
      <c r="V35" s="1"/>
      <c r="Y35" s="1"/>
    </row>
    <row r="36" spans="6:25" ht="19.5" x14ac:dyDescent="0.25">
      <c r="Y36" s="1"/>
    </row>
    <row r="37" spans="6:25" ht="19.5" x14ac:dyDescent="0.25">
      <c r="W37" s="1"/>
    </row>
    <row r="38" spans="6:25" ht="19.5" x14ac:dyDescent="0.25">
      <c r="W38" s="1"/>
    </row>
    <row r="39" spans="6:25" ht="55.9" customHeight="1" x14ac:dyDescent="0.25">
      <c r="W39" s="1"/>
    </row>
    <row r="40" spans="6:25" ht="19.5" x14ac:dyDescent="0.25">
      <c r="Y40" s="1"/>
    </row>
    <row r="41" spans="6:25" ht="19.5" x14ac:dyDescent="0.25">
      <c r="W41">
        <f>1.5/W42</f>
        <v>25</v>
      </c>
      <c r="Y41" s="1"/>
    </row>
    <row r="42" spans="6:25" x14ac:dyDescent="0.25">
      <c r="W42">
        <f>0.2*0.3</f>
        <v>0.06</v>
      </c>
    </row>
    <row r="43" spans="6:25" ht="19.5" x14ac:dyDescent="0.25">
      <c r="F43" s="4"/>
      <c r="T43" s="1"/>
      <c r="U43" s="1">
        <f>W42/1.5</f>
        <v>0.04</v>
      </c>
      <c r="V43" s="1"/>
      <c r="W43" s="1"/>
      <c r="X43" s="4"/>
      <c r="Y43" s="1"/>
    </row>
    <row r="44" spans="6:25" ht="19.5" x14ac:dyDescent="0.25">
      <c r="F44" s="1"/>
      <c r="T44" s="1"/>
      <c r="U44" s="1">
        <f>1/U45</f>
        <v>138.88888888888889</v>
      </c>
      <c r="V44" s="1"/>
      <c r="W44" s="1"/>
      <c r="X44" s="1"/>
      <c r="Y44" s="1"/>
    </row>
    <row r="45" spans="6:25" ht="55.9" customHeight="1" x14ac:dyDescent="0.25">
      <c r="F45" s="4"/>
      <c r="U45">
        <f>0.3*0.3*0.08</f>
        <v>7.1999999999999998E-3</v>
      </c>
    </row>
    <row r="46" spans="6:25" ht="19.5" x14ac:dyDescent="0.25">
      <c r="F46" s="4"/>
      <c r="W46">
        <f>U45/1</f>
        <v>7.1999999999999998E-3</v>
      </c>
    </row>
    <row r="47" spans="6:25" ht="19.5" x14ac:dyDescent="0.25">
      <c r="F47" s="4"/>
    </row>
    <row r="48" spans="6:25" x14ac:dyDescent="0.25">
      <c r="U48">
        <f>1.5/0.2*0.3</f>
        <v>2.25</v>
      </c>
    </row>
    <row r="49" spans="21:27" ht="19.5" x14ac:dyDescent="0.25">
      <c r="W49" s="1"/>
    </row>
    <row r="50" spans="21:27" ht="19.5" x14ac:dyDescent="0.25">
      <c r="W50" s="2"/>
    </row>
    <row r="51" spans="21:27" ht="55.9" customHeight="1" x14ac:dyDescent="0.25">
      <c r="W51" s="2"/>
    </row>
    <row r="52" spans="21:27" ht="19.5" x14ac:dyDescent="0.25">
      <c r="U52">
        <f>U54/U53</f>
        <v>110.97058823529412</v>
      </c>
      <c r="V52">
        <f>1/U53</f>
        <v>98.039215686274503</v>
      </c>
      <c r="W52" s="2"/>
    </row>
    <row r="53" spans="21:27" ht="19.5" x14ac:dyDescent="0.25">
      <c r="U53">
        <f>0.17*0.3*0.2</f>
        <v>1.0200000000000001E-2</v>
      </c>
      <c r="W53" s="2"/>
    </row>
    <row r="54" spans="21:27" ht="19.5" x14ac:dyDescent="0.25">
      <c r="U54">
        <f>1.1*1.05*0.98</f>
        <v>1.1319000000000001</v>
      </c>
      <c r="W54" s="2"/>
    </row>
    <row r="55" spans="21:27" ht="19.5" x14ac:dyDescent="0.25">
      <c r="W55" s="1"/>
    </row>
    <row r="56" spans="21:27" ht="19.5" x14ac:dyDescent="0.25">
      <c r="U56">
        <f>400/1.5</f>
        <v>266.66666666666669</v>
      </c>
      <c r="W56" s="1"/>
    </row>
    <row r="57" spans="21:27" ht="55.9" customHeight="1" x14ac:dyDescent="0.25">
      <c r="W57" s="1"/>
    </row>
    <row r="58" spans="21:27" ht="19.5" x14ac:dyDescent="0.25">
      <c r="X58" s="1"/>
    </row>
    <row r="59" spans="21:27" ht="19.5" x14ac:dyDescent="0.25">
      <c r="X59" s="1"/>
    </row>
    <row r="60" spans="21:27" ht="19.5" x14ac:dyDescent="0.25">
      <c r="V60">
        <f>266*1.5</f>
        <v>399</v>
      </c>
      <c r="X60" s="1"/>
    </row>
    <row r="61" spans="21:27" ht="19.5" x14ac:dyDescent="0.25">
      <c r="X61" s="1"/>
    </row>
    <row r="62" spans="21:27" ht="19.5" x14ac:dyDescent="0.25">
      <c r="X62" s="1"/>
    </row>
    <row r="63" spans="21:27" ht="55.9" customHeight="1" x14ac:dyDescent="0.25">
      <c r="X63" s="1"/>
    </row>
    <row r="64" spans="21:27" ht="19.5" x14ac:dyDescent="0.25">
      <c r="AA64" s="1"/>
    </row>
    <row r="65" spans="19:30" ht="19.5" x14ac:dyDescent="0.25">
      <c r="AA65" s="1"/>
    </row>
    <row r="66" spans="19:30" ht="19.5" x14ac:dyDescent="0.25">
      <c r="AC66" s="1"/>
    </row>
    <row r="67" spans="19:30" ht="21" customHeight="1" x14ac:dyDescent="0.25">
      <c r="S67" s="2"/>
      <c r="AD67" s="1"/>
    </row>
    <row r="68" spans="19:30" ht="21" customHeight="1" x14ac:dyDescent="0.25">
      <c r="AB68" s="1"/>
    </row>
    <row r="69" spans="19:30" ht="19.5" x14ac:dyDescent="0.25">
      <c r="Z69" s="1"/>
    </row>
    <row r="70" spans="19:30" ht="19.5" x14ac:dyDescent="0.25">
      <c r="Z70" s="1"/>
    </row>
    <row r="71" spans="19:30" ht="19.5" x14ac:dyDescent="0.25">
      <c r="Z71" s="1"/>
    </row>
    <row r="72" spans="19:30" ht="19.5" x14ac:dyDescent="0.25">
      <c r="AD72" s="1"/>
    </row>
    <row r="73" spans="19:30" ht="19.5" x14ac:dyDescent="0.25">
      <c r="AD73" s="1"/>
    </row>
    <row r="74" spans="19:30" ht="20.25" thickBot="1" x14ac:dyDescent="0.3">
      <c r="S74" s="1"/>
    </row>
    <row r="75" spans="19:30" ht="19.5" x14ac:dyDescent="0.25">
      <c r="S75" s="14" t="s">
        <v>5</v>
      </c>
    </row>
    <row r="76" spans="19:30" ht="20.25" thickBot="1" x14ac:dyDescent="0.3">
      <c r="S76" s="15" t="s">
        <v>32</v>
      </c>
    </row>
    <row r="77" spans="19:30" ht="20.25" thickBot="1" x14ac:dyDescent="0.3">
      <c r="S77" s="8" t="e">
        <f>#REF!/10</f>
        <v>#REF!</v>
      </c>
    </row>
    <row r="78" spans="19:30" ht="20.25" thickBot="1" x14ac:dyDescent="0.3">
      <c r="S78" s="8" t="e">
        <f>#REF!/10</f>
        <v>#REF!</v>
      </c>
    </row>
    <row r="79" spans="19:30" ht="20.25" thickBot="1" x14ac:dyDescent="0.3">
      <c r="S79" s="8" t="e">
        <f>#REF!/10</f>
        <v>#REF!</v>
      </c>
    </row>
    <row r="82" spans="19:19" ht="20.25" thickBot="1" x14ac:dyDescent="0.3">
      <c r="S82" s="1"/>
    </row>
    <row r="83" spans="19:19" ht="19.5" x14ac:dyDescent="0.25">
      <c r="S83" s="14" t="s">
        <v>5</v>
      </c>
    </row>
    <row r="84" spans="19:19" ht="18.600000000000001" customHeight="1" thickBot="1" x14ac:dyDescent="0.3">
      <c r="S84" s="15" t="s">
        <v>32</v>
      </c>
    </row>
    <row r="85" spans="19:19" ht="19.149999999999999" customHeight="1" thickBot="1" x14ac:dyDescent="0.3">
      <c r="S85" s="8" t="e">
        <f>#REF!/10</f>
        <v>#REF!</v>
      </c>
    </row>
    <row r="86" spans="19:19" ht="20.25" thickBot="1" x14ac:dyDescent="0.3">
      <c r="S86" s="8" t="e">
        <f>#REF!/10</f>
        <v>#REF!</v>
      </c>
    </row>
    <row r="87" spans="19:19" ht="20.25" thickBot="1" x14ac:dyDescent="0.3">
      <c r="S87" s="8" t="e">
        <f>#REF!/10</f>
        <v>#REF!</v>
      </c>
    </row>
    <row r="90" spans="19:19" ht="20.25" thickBot="1" x14ac:dyDescent="0.3">
      <c r="S90" s="1"/>
    </row>
    <row r="91" spans="19:19" ht="19.5" x14ac:dyDescent="0.25">
      <c r="S91" s="14" t="s">
        <v>5</v>
      </c>
    </row>
    <row r="92" spans="19:19" ht="20.25" thickBot="1" x14ac:dyDescent="0.3">
      <c r="S92" s="15" t="s">
        <v>32</v>
      </c>
    </row>
    <row r="93" spans="19:19" ht="20.25" thickBot="1" x14ac:dyDescent="0.3">
      <c r="S93" s="8" t="e">
        <f>#REF!/10</f>
        <v>#REF!</v>
      </c>
    </row>
    <row r="94" spans="19:19" ht="20.25" thickBot="1" x14ac:dyDescent="0.3">
      <c r="S94" s="8" t="e">
        <f>#REF!/10</f>
        <v>#REF!</v>
      </c>
    </row>
    <row r="95" spans="19:19" ht="20.25" thickBot="1" x14ac:dyDescent="0.3">
      <c r="S95" s="8" t="e">
        <f>#REF!/10</f>
        <v>#REF!</v>
      </c>
    </row>
    <row r="98" spans="19:24" ht="19.5" x14ac:dyDescent="0.25">
      <c r="S98" s="1"/>
      <c r="T98" s="1"/>
    </row>
    <row r="100" spans="19:24" x14ac:dyDescent="0.25">
      <c r="W100">
        <f>3.5*3</f>
        <v>10.5</v>
      </c>
    </row>
    <row r="102" spans="19:24" x14ac:dyDescent="0.25">
      <c r="X102">
        <f>10.5/12</f>
        <v>0.875</v>
      </c>
    </row>
  </sheetData>
  <sheetProtection algorithmName="SHA-512" hashValue="HkNHz4tnZoxKVozcoJ4jkyh4W6RqRoYXbVRDJB2L1vo0tn3NwmFMSKO1So21kU/EaCEBRyrgfroWO3UaDeyYjg==" saltValue="lLaYfC3RHd832/dpMxMQ3w==" spinCount="100000" sheet="1" objects="1" scenarios="1"/>
  <mergeCells count="1">
    <mergeCell ref="G16:G17"/>
  </mergeCells>
  <pageMargins left="0.7" right="0.7" top="0.75" bottom="0.75" header="0.3" footer="0.3"/>
  <pageSetup paperSize="9" scale="7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AF102"/>
  <sheetViews>
    <sheetView topLeftCell="A3" zoomScale="60" zoomScaleNormal="60" workbookViewId="0">
      <selection activeCell="H18" sqref="H18:K19"/>
    </sheetView>
  </sheetViews>
  <sheetFormatPr baseColWidth="10" defaultColWidth="8.85546875" defaultRowHeight="15" x14ac:dyDescent="0.25"/>
  <cols>
    <col min="6" max="6" width="2.85546875" customWidth="1"/>
    <col min="7" max="7" width="25.7109375" customWidth="1"/>
    <col min="8" max="8" width="21.28515625" customWidth="1"/>
    <col min="9" max="9" width="21" customWidth="1"/>
    <col min="10" max="10" width="17.42578125" customWidth="1"/>
    <col min="11" max="11" width="17" customWidth="1"/>
    <col min="12" max="12" width="20.28515625" customWidth="1"/>
    <col min="13" max="14" width="20.5703125" customWidth="1"/>
    <col min="15" max="15" width="22.85546875" customWidth="1"/>
    <col min="16" max="16" width="23.5703125" customWidth="1"/>
    <col min="17" max="17" width="20.5703125" customWidth="1"/>
    <col min="18" max="18" width="19.5703125" customWidth="1"/>
    <col min="19" max="19" width="14.5703125" customWidth="1"/>
    <col min="20" max="20" width="20.5703125" customWidth="1"/>
    <col min="21" max="21" width="24" customWidth="1"/>
    <col min="22" max="22" width="18" customWidth="1"/>
    <col min="23" max="27" width="20.5703125" customWidth="1"/>
    <col min="28" max="28" width="18.42578125" customWidth="1"/>
    <col min="29" max="29" width="23" customWidth="1"/>
    <col min="30" max="30" width="24.7109375" customWidth="1"/>
    <col min="31" max="31" width="22.140625" customWidth="1"/>
    <col min="32" max="32" width="16.85546875" customWidth="1"/>
    <col min="33" max="33" width="2.7109375" customWidth="1"/>
  </cols>
  <sheetData>
    <row r="4" spans="6:32" ht="19.5" x14ac:dyDescent="0.25">
      <c r="F4" s="1"/>
      <c r="K4" s="2"/>
      <c r="L4" s="2"/>
      <c r="AD4" s="2"/>
      <c r="AE4" s="1"/>
    </row>
    <row r="5" spans="6:32" ht="19.5" x14ac:dyDescent="0.25">
      <c r="AE5" s="1"/>
      <c r="AF5" s="1"/>
    </row>
    <row r="6" spans="6:32" ht="19.5" x14ac:dyDescent="0.25"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F6" s="2"/>
    </row>
    <row r="7" spans="6:32" ht="19.5" x14ac:dyDescent="0.25">
      <c r="F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E7" s="2"/>
    </row>
    <row r="8" spans="6:32" ht="19.5" x14ac:dyDescent="0.25">
      <c r="F8" s="1"/>
      <c r="N8" s="1"/>
      <c r="O8" s="17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E8" s="2"/>
    </row>
    <row r="9" spans="6:32" ht="19.5" x14ac:dyDescent="0.25">
      <c r="F9" s="1"/>
      <c r="J9" s="16"/>
      <c r="M9" s="1"/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2"/>
      <c r="AC9" s="2"/>
      <c r="AE9" s="2"/>
    </row>
    <row r="10" spans="6:32" ht="23.25" x14ac:dyDescent="0.35">
      <c r="F10" s="1"/>
      <c r="G10" s="2"/>
      <c r="H10" s="2"/>
      <c r="I10" s="17"/>
      <c r="J10" s="17"/>
      <c r="K10" s="158" t="s">
        <v>400</v>
      </c>
      <c r="L10" s="158"/>
      <c r="M10" s="158"/>
      <c r="N10" s="159"/>
      <c r="O10" s="1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E10" s="2"/>
    </row>
    <row r="11" spans="6:32" ht="19.5" x14ac:dyDescent="0.25">
      <c r="F11" s="2"/>
      <c r="G11" s="2"/>
      <c r="H11" s="2"/>
      <c r="I11" s="2"/>
      <c r="J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E11" s="1"/>
    </row>
    <row r="12" spans="6:32" ht="23.25" x14ac:dyDescent="0.35">
      <c r="F12" s="1"/>
      <c r="G12" s="1"/>
      <c r="H12" s="96" t="s">
        <v>370</v>
      </c>
      <c r="I12" s="96"/>
      <c r="J12" s="96"/>
      <c r="K12" s="96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E12" s="1"/>
    </row>
    <row r="13" spans="6:32" ht="19.5" x14ac:dyDescent="0.25">
      <c r="F13" s="1"/>
      <c r="G13" s="1"/>
      <c r="H13" s="1"/>
      <c r="I13" s="1"/>
      <c r="J13" s="1"/>
      <c r="K13" s="3"/>
      <c r="L13" s="3"/>
      <c r="M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E13" s="1"/>
    </row>
    <row r="14" spans="6:32" ht="25.5" x14ac:dyDescent="0.35">
      <c r="F14" s="1"/>
      <c r="G14" s="1"/>
      <c r="H14" s="99" t="s">
        <v>45</v>
      </c>
      <c r="I14" s="20"/>
      <c r="J14" s="17"/>
      <c r="K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6:32" ht="20.25" thickBot="1" x14ac:dyDescent="0.3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6:32" ht="19.5" x14ac:dyDescent="0.25">
      <c r="F16" s="1"/>
      <c r="G16" s="191" t="s">
        <v>0</v>
      </c>
      <c r="H16" s="9" t="s">
        <v>2</v>
      </c>
      <c r="I16" s="9" t="s">
        <v>4</v>
      </c>
      <c r="J16" s="9" t="s">
        <v>19</v>
      </c>
      <c r="K16" s="12" t="s">
        <v>14</v>
      </c>
      <c r="L16" s="50" t="s">
        <v>60</v>
      </c>
      <c r="M16" s="50" t="s">
        <v>60</v>
      </c>
      <c r="N16" s="50" t="s">
        <v>60</v>
      </c>
      <c r="O16" s="45" t="s">
        <v>60</v>
      </c>
      <c r="P16" s="45" t="s">
        <v>60</v>
      </c>
      <c r="Q16" s="45" t="s">
        <v>60</v>
      </c>
      <c r="R16" s="11"/>
    </row>
    <row r="17" spans="6:23" ht="23.25" thickBot="1" x14ac:dyDescent="0.3">
      <c r="F17" s="1"/>
      <c r="G17" s="192"/>
      <c r="H17" s="10" t="s">
        <v>26</v>
      </c>
      <c r="I17" s="10" t="s">
        <v>26</v>
      </c>
      <c r="J17" s="10" t="s">
        <v>26</v>
      </c>
      <c r="K17" s="10" t="s">
        <v>26</v>
      </c>
      <c r="L17" s="51" t="s">
        <v>61</v>
      </c>
      <c r="M17" s="51" t="s">
        <v>70</v>
      </c>
      <c r="N17" s="51" t="s">
        <v>71</v>
      </c>
      <c r="O17" s="46" t="s">
        <v>62</v>
      </c>
      <c r="P17" s="46" t="s">
        <v>63</v>
      </c>
      <c r="Q17" s="47" t="s">
        <v>64</v>
      </c>
    </row>
    <row r="18" spans="6:23" ht="55.9" customHeight="1" thickBot="1" x14ac:dyDescent="0.3">
      <c r="F18" s="4"/>
      <c r="G18" s="7" t="s">
        <v>176</v>
      </c>
      <c r="H18" s="55"/>
      <c r="I18" s="55"/>
      <c r="J18" s="55"/>
      <c r="K18" s="55"/>
      <c r="L18" s="53">
        <f>(((H18*I18*J18*K18)*350)/50)*1.05</f>
        <v>0</v>
      </c>
      <c r="M18" s="49">
        <f>H18*I18*J18*K18*0.8*1.05</f>
        <v>0</v>
      </c>
      <c r="N18" s="49">
        <f>H18*I18*J18*K18*0.4*1.05</f>
        <v>0</v>
      </c>
      <c r="O18" s="54">
        <f t="shared" ref="O18:O27" si="0">L18/20</f>
        <v>0</v>
      </c>
      <c r="P18" s="54">
        <f>(M18*1700)/1000</f>
        <v>0</v>
      </c>
      <c r="Q18" s="54">
        <f>(N18*1600)/1000</f>
        <v>0</v>
      </c>
      <c r="S18" s="5"/>
    </row>
    <row r="19" spans="6:23" ht="55.9" customHeight="1" thickBot="1" x14ac:dyDescent="0.3">
      <c r="F19" s="4"/>
      <c r="G19" s="7" t="s">
        <v>177</v>
      </c>
      <c r="H19" s="55"/>
      <c r="I19" s="55"/>
      <c r="J19" s="55"/>
      <c r="K19" s="55"/>
      <c r="L19" s="53">
        <f t="shared" ref="L19:L27" si="1">(((H19*I19*J19*K19)*350)/50)*1.05</f>
        <v>0</v>
      </c>
      <c r="M19" s="49">
        <f t="shared" ref="M19:M27" si="2">H19*I19*J19*K19*0.8*1.05</f>
        <v>0</v>
      </c>
      <c r="N19" s="49">
        <f t="shared" ref="N19:N27" si="3">H19*I19*J19*K19*0.4*1.05</f>
        <v>0</v>
      </c>
      <c r="O19" s="54">
        <f t="shared" si="0"/>
        <v>0</v>
      </c>
      <c r="P19" s="54">
        <f t="shared" ref="P19:P27" si="4">(M19*1700)/1000</f>
        <v>0</v>
      </c>
      <c r="Q19" s="54">
        <f t="shared" ref="Q19:Q27" si="5">(N19*1600)/1000</f>
        <v>0</v>
      </c>
      <c r="R19" s="1"/>
      <c r="U19" s="5"/>
    </row>
    <row r="20" spans="6:23" ht="55.9" customHeight="1" thickBot="1" x14ac:dyDescent="0.3">
      <c r="F20" s="4"/>
      <c r="G20" s="7" t="s">
        <v>178</v>
      </c>
      <c r="H20" s="55"/>
      <c r="I20" s="55"/>
      <c r="J20" s="55"/>
      <c r="K20" s="55"/>
      <c r="L20" s="53">
        <f t="shared" si="1"/>
        <v>0</v>
      </c>
      <c r="M20" s="49">
        <f t="shared" si="2"/>
        <v>0</v>
      </c>
      <c r="N20" s="49">
        <f t="shared" si="3"/>
        <v>0</v>
      </c>
      <c r="O20" s="54">
        <f t="shared" si="0"/>
        <v>0</v>
      </c>
      <c r="P20" s="54">
        <f t="shared" si="4"/>
        <v>0</v>
      </c>
      <c r="Q20" s="54">
        <f t="shared" si="5"/>
        <v>0</v>
      </c>
      <c r="R20" s="1"/>
      <c r="U20" s="5"/>
    </row>
    <row r="21" spans="6:23" ht="55.9" customHeight="1" thickBot="1" x14ac:dyDescent="0.3">
      <c r="F21" s="4"/>
      <c r="G21" s="7" t="s">
        <v>179</v>
      </c>
      <c r="H21" s="55"/>
      <c r="I21" s="55"/>
      <c r="J21" s="55"/>
      <c r="K21" s="55"/>
      <c r="L21" s="53">
        <f t="shared" si="1"/>
        <v>0</v>
      </c>
      <c r="M21" s="49">
        <f t="shared" si="2"/>
        <v>0</v>
      </c>
      <c r="N21" s="49">
        <f t="shared" si="3"/>
        <v>0</v>
      </c>
      <c r="O21" s="54">
        <f t="shared" si="0"/>
        <v>0</v>
      </c>
      <c r="P21" s="54">
        <f t="shared" si="4"/>
        <v>0</v>
      </c>
      <c r="Q21" s="54">
        <f t="shared" si="5"/>
        <v>0</v>
      </c>
      <c r="R21" s="2"/>
      <c r="U21" s="5"/>
    </row>
    <row r="22" spans="6:23" ht="55.9" customHeight="1" thickBot="1" x14ac:dyDescent="0.3">
      <c r="F22" s="4"/>
      <c r="G22" s="7" t="s">
        <v>180</v>
      </c>
      <c r="H22" s="55"/>
      <c r="I22" s="55"/>
      <c r="J22" s="55"/>
      <c r="K22" s="55"/>
      <c r="L22" s="53">
        <f t="shared" si="1"/>
        <v>0</v>
      </c>
      <c r="M22" s="49">
        <f t="shared" si="2"/>
        <v>0</v>
      </c>
      <c r="N22" s="49">
        <f t="shared" si="3"/>
        <v>0</v>
      </c>
      <c r="O22" s="54">
        <f t="shared" si="0"/>
        <v>0</v>
      </c>
      <c r="P22" s="54">
        <f t="shared" si="4"/>
        <v>0</v>
      </c>
      <c r="Q22" s="54">
        <f t="shared" si="5"/>
        <v>0</v>
      </c>
      <c r="R22" s="1"/>
      <c r="U22" s="16"/>
    </row>
    <row r="23" spans="6:23" ht="55.9" customHeight="1" thickBot="1" x14ac:dyDescent="0.3">
      <c r="F23" s="4"/>
      <c r="G23" s="7" t="s">
        <v>181</v>
      </c>
      <c r="H23" s="55"/>
      <c r="I23" s="55"/>
      <c r="J23" s="55"/>
      <c r="K23" s="55"/>
      <c r="L23" s="53">
        <f t="shared" si="1"/>
        <v>0</v>
      </c>
      <c r="M23" s="49">
        <f t="shared" si="2"/>
        <v>0</v>
      </c>
      <c r="N23" s="49">
        <f t="shared" si="3"/>
        <v>0</v>
      </c>
      <c r="O23" s="54">
        <f t="shared" si="0"/>
        <v>0</v>
      </c>
      <c r="P23" s="54">
        <f t="shared" si="4"/>
        <v>0</v>
      </c>
      <c r="Q23" s="54">
        <f t="shared" si="5"/>
        <v>0</v>
      </c>
    </row>
    <row r="24" spans="6:23" ht="55.9" customHeight="1" thickBot="1" x14ac:dyDescent="0.3">
      <c r="F24" s="4"/>
      <c r="G24" s="7" t="s">
        <v>182</v>
      </c>
      <c r="H24" s="55"/>
      <c r="I24" s="55"/>
      <c r="J24" s="55"/>
      <c r="K24" s="55"/>
      <c r="L24" s="53">
        <f t="shared" si="1"/>
        <v>0</v>
      </c>
      <c r="M24" s="49">
        <f t="shared" si="2"/>
        <v>0</v>
      </c>
      <c r="N24" s="49">
        <f t="shared" si="3"/>
        <v>0</v>
      </c>
      <c r="O24" s="54">
        <f t="shared" si="0"/>
        <v>0</v>
      </c>
      <c r="P24" s="54">
        <f t="shared" si="4"/>
        <v>0</v>
      </c>
      <c r="Q24" s="54">
        <f t="shared" si="5"/>
        <v>0</v>
      </c>
    </row>
    <row r="25" spans="6:23" ht="55.9" customHeight="1" thickBot="1" x14ac:dyDescent="0.3">
      <c r="F25" s="1"/>
      <c r="G25" s="7" t="s">
        <v>183</v>
      </c>
      <c r="H25" s="55"/>
      <c r="I25" s="55"/>
      <c r="J25" s="55"/>
      <c r="K25" s="55"/>
      <c r="L25" s="53">
        <f t="shared" si="1"/>
        <v>0</v>
      </c>
      <c r="M25" s="49">
        <f t="shared" si="2"/>
        <v>0</v>
      </c>
      <c r="N25" s="49">
        <f t="shared" si="3"/>
        <v>0</v>
      </c>
      <c r="O25" s="54">
        <f t="shared" si="0"/>
        <v>0</v>
      </c>
      <c r="P25" s="54">
        <f t="shared" si="4"/>
        <v>0</v>
      </c>
      <c r="Q25" s="54">
        <f t="shared" si="5"/>
        <v>0</v>
      </c>
    </row>
    <row r="26" spans="6:23" ht="55.9" customHeight="1" thickBot="1" x14ac:dyDescent="0.3">
      <c r="F26" s="1"/>
      <c r="G26" s="7" t="s">
        <v>184</v>
      </c>
      <c r="H26" s="55"/>
      <c r="I26" s="55"/>
      <c r="J26" s="55"/>
      <c r="K26" s="55"/>
      <c r="L26" s="53">
        <f t="shared" si="1"/>
        <v>0</v>
      </c>
      <c r="M26" s="49">
        <f t="shared" si="2"/>
        <v>0</v>
      </c>
      <c r="N26" s="49">
        <f t="shared" si="3"/>
        <v>0</v>
      </c>
      <c r="O26" s="54">
        <f t="shared" si="0"/>
        <v>0</v>
      </c>
      <c r="P26" s="54">
        <f t="shared" si="4"/>
        <v>0</v>
      </c>
      <c r="Q26" s="54">
        <f t="shared" si="5"/>
        <v>0</v>
      </c>
      <c r="S26" s="1"/>
      <c r="V26" s="1"/>
      <c r="W26" s="1"/>
    </row>
    <row r="27" spans="6:23" ht="55.9" customHeight="1" thickBot="1" x14ac:dyDescent="0.3">
      <c r="F27" s="1"/>
      <c r="G27" s="7" t="s">
        <v>185</v>
      </c>
      <c r="H27" s="55"/>
      <c r="I27" s="55"/>
      <c r="J27" s="55"/>
      <c r="K27" s="55"/>
      <c r="L27" s="53">
        <f t="shared" si="1"/>
        <v>0</v>
      </c>
      <c r="M27" s="49">
        <f t="shared" si="2"/>
        <v>0</v>
      </c>
      <c r="N27" s="49">
        <f t="shared" si="3"/>
        <v>0</v>
      </c>
      <c r="O27" s="54">
        <f t="shared" si="0"/>
        <v>0</v>
      </c>
      <c r="P27" s="54">
        <f t="shared" si="4"/>
        <v>0</v>
      </c>
      <c r="Q27" s="54">
        <f t="shared" si="5"/>
        <v>0</v>
      </c>
      <c r="S27" s="1"/>
      <c r="V27" s="1"/>
    </row>
    <row r="28" spans="6:23" ht="20.25" thickBot="1" x14ac:dyDescent="0.3">
      <c r="F28" s="1"/>
      <c r="G28" s="62"/>
      <c r="S28" s="2"/>
    </row>
    <row r="29" spans="6:23" ht="31.15" customHeight="1" thickBot="1" x14ac:dyDescent="0.45">
      <c r="F29" s="4"/>
      <c r="K29" s="76" t="s">
        <v>223</v>
      </c>
      <c r="L29" s="73">
        <f>SUM(L18:L27)</f>
        <v>0</v>
      </c>
      <c r="M29" s="73">
        <f t="shared" ref="M29:Q29" si="6">SUM(M18:M27)</f>
        <v>0</v>
      </c>
      <c r="N29" s="73">
        <f t="shared" si="6"/>
        <v>0</v>
      </c>
      <c r="O29" s="73">
        <f t="shared" si="6"/>
        <v>0</v>
      </c>
      <c r="P29" s="73">
        <f t="shared" si="6"/>
        <v>0</v>
      </c>
      <c r="Q29" s="73">
        <f t="shared" si="6"/>
        <v>0</v>
      </c>
      <c r="S29" s="1"/>
    </row>
    <row r="30" spans="6:23" ht="19.5" x14ac:dyDescent="0.25">
      <c r="F30" s="4"/>
      <c r="K30" s="62"/>
    </row>
    <row r="31" spans="6:23" ht="19.5" x14ac:dyDescent="0.25">
      <c r="F31" s="4"/>
      <c r="O31" s="24"/>
    </row>
    <row r="32" spans="6:23" ht="55.9" customHeight="1" x14ac:dyDescent="0.25">
      <c r="F32" s="4"/>
    </row>
    <row r="33" spans="6:25" ht="19.5" x14ac:dyDescent="0.25">
      <c r="F33" s="4"/>
      <c r="U33" s="1"/>
      <c r="V33" s="1"/>
      <c r="Y33" s="1"/>
    </row>
    <row r="34" spans="6:25" ht="19.5" x14ac:dyDescent="0.25">
      <c r="F34" s="4"/>
      <c r="V34" s="1"/>
      <c r="Y34" s="1"/>
    </row>
    <row r="35" spans="6:25" ht="19.5" x14ac:dyDescent="0.25">
      <c r="F35" s="4"/>
      <c r="V35" s="1"/>
      <c r="Y35" s="1"/>
    </row>
    <row r="36" spans="6:25" ht="19.5" x14ac:dyDescent="0.25">
      <c r="Y36" s="1"/>
    </row>
    <row r="37" spans="6:25" ht="19.5" x14ac:dyDescent="0.25">
      <c r="W37" s="1"/>
    </row>
    <row r="38" spans="6:25" ht="19.5" x14ac:dyDescent="0.25">
      <c r="W38" s="1"/>
    </row>
    <row r="39" spans="6:25" ht="55.9" customHeight="1" x14ac:dyDescent="0.25">
      <c r="W39" s="1"/>
    </row>
    <row r="40" spans="6:25" ht="19.5" x14ac:dyDescent="0.25">
      <c r="Y40" s="1"/>
    </row>
    <row r="41" spans="6:25" ht="19.5" x14ac:dyDescent="0.25">
      <c r="W41">
        <f>1.5/W42</f>
        <v>25</v>
      </c>
      <c r="Y41" s="1"/>
    </row>
    <row r="42" spans="6:25" x14ac:dyDescent="0.25">
      <c r="W42">
        <f>0.2*0.3</f>
        <v>0.06</v>
      </c>
    </row>
    <row r="43" spans="6:25" ht="19.5" x14ac:dyDescent="0.25">
      <c r="F43" s="4"/>
      <c r="T43" s="1"/>
      <c r="U43" s="1">
        <f>W42/1.5</f>
        <v>0.04</v>
      </c>
      <c r="V43" s="1"/>
      <c r="W43" s="1"/>
      <c r="X43" s="4"/>
      <c r="Y43" s="1"/>
    </row>
    <row r="44" spans="6:25" ht="19.5" x14ac:dyDescent="0.25">
      <c r="F44" s="1"/>
      <c r="T44" s="1"/>
      <c r="U44" s="1">
        <f>1/U45</f>
        <v>138.88888888888889</v>
      </c>
      <c r="V44" s="1"/>
      <c r="W44" s="1"/>
      <c r="X44" s="1"/>
      <c r="Y44" s="1"/>
    </row>
    <row r="45" spans="6:25" ht="55.9" customHeight="1" x14ac:dyDescent="0.25">
      <c r="F45" s="4"/>
      <c r="U45">
        <f>0.3*0.3*0.08</f>
        <v>7.1999999999999998E-3</v>
      </c>
    </row>
    <row r="46" spans="6:25" ht="19.5" x14ac:dyDescent="0.25">
      <c r="F46" s="4"/>
      <c r="W46">
        <f>U45/1</f>
        <v>7.1999999999999998E-3</v>
      </c>
    </row>
    <row r="47" spans="6:25" ht="19.5" x14ac:dyDescent="0.25">
      <c r="F47" s="4"/>
    </row>
    <row r="48" spans="6:25" x14ac:dyDescent="0.25">
      <c r="U48">
        <f>1.5/0.2*0.3</f>
        <v>2.25</v>
      </c>
    </row>
    <row r="49" spans="21:27" ht="19.5" x14ac:dyDescent="0.25">
      <c r="W49" s="1"/>
    </row>
    <row r="50" spans="21:27" ht="19.5" x14ac:dyDescent="0.25">
      <c r="W50" s="2"/>
    </row>
    <row r="51" spans="21:27" ht="55.9" customHeight="1" x14ac:dyDescent="0.25">
      <c r="W51" s="2"/>
    </row>
    <row r="52" spans="21:27" ht="19.5" x14ac:dyDescent="0.25">
      <c r="U52">
        <f>U54/U53</f>
        <v>110.97058823529412</v>
      </c>
      <c r="V52">
        <f>1/U53</f>
        <v>98.039215686274503</v>
      </c>
      <c r="W52" s="2"/>
    </row>
    <row r="53" spans="21:27" ht="19.5" x14ac:dyDescent="0.25">
      <c r="U53">
        <f>0.17*0.3*0.2</f>
        <v>1.0200000000000001E-2</v>
      </c>
      <c r="W53" s="2"/>
    </row>
    <row r="54" spans="21:27" ht="19.5" x14ac:dyDescent="0.25">
      <c r="U54">
        <f>1.1*1.05*0.98</f>
        <v>1.1319000000000001</v>
      </c>
      <c r="W54" s="2"/>
    </row>
    <row r="55" spans="21:27" ht="19.5" x14ac:dyDescent="0.25">
      <c r="W55" s="1"/>
    </row>
    <row r="56" spans="21:27" ht="19.5" x14ac:dyDescent="0.25">
      <c r="U56">
        <f>400/1.5</f>
        <v>266.66666666666669</v>
      </c>
      <c r="W56" s="1"/>
    </row>
    <row r="57" spans="21:27" ht="55.9" customHeight="1" x14ac:dyDescent="0.25">
      <c r="W57" s="1"/>
    </row>
    <row r="58" spans="21:27" ht="19.5" x14ac:dyDescent="0.25">
      <c r="X58" s="1"/>
    </row>
    <row r="59" spans="21:27" ht="19.5" x14ac:dyDescent="0.25">
      <c r="X59" s="1"/>
    </row>
    <row r="60" spans="21:27" ht="19.5" x14ac:dyDescent="0.25">
      <c r="V60">
        <f>266*1.5</f>
        <v>399</v>
      </c>
      <c r="X60" s="1"/>
    </row>
    <row r="61" spans="21:27" ht="19.5" x14ac:dyDescent="0.25">
      <c r="X61" s="1"/>
    </row>
    <row r="62" spans="21:27" ht="19.5" x14ac:dyDescent="0.25">
      <c r="X62" s="1"/>
    </row>
    <row r="63" spans="21:27" ht="55.9" customHeight="1" x14ac:dyDescent="0.25">
      <c r="X63" s="1"/>
    </row>
    <row r="64" spans="21:27" ht="19.5" x14ac:dyDescent="0.25">
      <c r="AA64" s="1"/>
    </row>
    <row r="65" spans="19:30" ht="19.5" x14ac:dyDescent="0.25">
      <c r="AA65" s="1"/>
    </row>
    <row r="66" spans="19:30" ht="19.5" x14ac:dyDescent="0.25">
      <c r="AC66" s="1"/>
    </row>
    <row r="67" spans="19:30" ht="21" customHeight="1" x14ac:dyDescent="0.25">
      <c r="S67" s="2"/>
      <c r="AD67" s="1"/>
    </row>
    <row r="68" spans="19:30" ht="21" customHeight="1" x14ac:dyDescent="0.25">
      <c r="AB68" s="1"/>
    </row>
    <row r="69" spans="19:30" ht="19.5" x14ac:dyDescent="0.25">
      <c r="Z69" s="1"/>
    </row>
    <row r="70" spans="19:30" ht="19.5" x14ac:dyDescent="0.25">
      <c r="Z70" s="1"/>
    </row>
    <row r="71" spans="19:30" ht="19.5" x14ac:dyDescent="0.25">
      <c r="Z71" s="1"/>
    </row>
    <row r="72" spans="19:30" ht="19.5" x14ac:dyDescent="0.25">
      <c r="AD72" s="1"/>
    </row>
    <row r="73" spans="19:30" ht="19.5" x14ac:dyDescent="0.25">
      <c r="AD73" s="1"/>
    </row>
    <row r="74" spans="19:30" ht="20.25" thickBot="1" x14ac:dyDescent="0.3">
      <c r="S74" s="1"/>
    </row>
    <row r="75" spans="19:30" ht="19.5" x14ac:dyDescent="0.25">
      <c r="S75" s="14" t="s">
        <v>5</v>
      </c>
    </row>
    <row r="76" spans="19:30" ht="20.25" thickBot="1" x14ac:dyDescent="0.3">
      <c r="S76" s="15" t="s">
        <v>32</v>
      </c>
    </row>
    <row r="77" spans="19:30" ht="20.25" thickBot="1" x14ac:dyDescent="0.3">
      <c r="S77" s="8" t="e">
        <f>#REF!/10</f>
        <v>#REF!</v>
      </c>
    </row>
    <row r="78" spans="19:30" ht="20.25" thickBot="1" x14ac:dyDescent="0.3">
      <c r="S78" s="8" t="e">
        <f>#REF!/10</f>
        <v>#REF!</v>
      </c>
    </row>
    <row r="79" spans="19:30" ht="20.25" thickBot="1" x14ac:dyDescent="0.3">
      <c r="S79" s="8" t="e">
        <f>#REF!/10</f>
        <v>#REF!</v>
      </c>
    </row>
    <row r="82" spans="19:19" ht="20.25" thickBot="1" x14ac:dyDescent="0.3">
      <c r="S82" s="1"/>
    </row>
    <row r="83" spans="19:19" ht="19.5" x14ac:dyDescent="0.25">
      <c r="S83" s="14" t="s">
        <v>5</v>
      </c>
    </row>
    <row r="84" spans="19:19" ht="18.600000000000001" customHeight="1" thickBot="1" x14ac:dyDescent="0.3">
      <c r="S84" s="15" t="s">
        <v>32</v>
      </c>
    </row>
    <row r="85" spans="19:19" ht="19.149999999999999" customHeight="1" thickBot="1" x14ac:dyDescent="0.3">
      <c r="S85" s="8" t="e">
        <f>#REF!/10</f>
        <v>#REF!</v>
      </c>
    </row>
    <row r="86" spans="19:19" ht="20.25" thickBot="1" x14ac:dyDescent="0.3">
      <c r="S86" s="8" t="e">
        <f>#REF!/10</f>
        <v>#REF!</v>
      </c>
    </row>
    <row r="87" spans="19:19" ht="20.25" thickBot="1" x14ac:dyDescent="0.3">
      <c r="S87" s="8" t="e">
        <f>#REF!/10</f>
        <v>#REF!</v>
      </c>
    </row>
    <row r="90" spans="19:19" ht="20.25" thickBot="1" x14ac:dyDescent="0.3">
      <c r="S90" s="1"/>
    </row>
    <row r="91" spans="19:19" ht="19.5" x14ac:dyDescent="0.25">
      <c r="S91" s="14" t="s">
        <v>5</v>
      </c>
    </row>
    <row r="92" spans="19:19" ht="20.25" thickBot="1" x14ac:dyDescent="0.3">
      <c r="S92" s="15" t="s">
        <v>32</v>
      </c>
    </row>
    <row r="93" spans="19:19" ht="20.25" thickBot="1" x14ac:dyDescent="0.3">
      <c r="S93" s="8" t="e">
        <f>#REF!/10</f>
        <v>#REF!</v>
      </c>
    </row>
    <row r="94" spans="19:19" ht="20.25" thickBot="1" x14ac:dyDescent="0.3">
      <c r="S94" s="8" t="e">
        <f>#REF!/10</f>
        <v>#REF!</v>
      </c>
    </row>
    <row r="95" spans="19:19" ht="20.25" thickBot="1" x14ac:dyDescent="0.3">
      <c r="S95" s="8" t="e">
        <f>#REF!/10</f>
        <v>#REF!</v>
      </c>
    </row>
    <row r="98" spans="19:24" ht="19.5" x14ac:dyDescent="0.25">
      <c r="S98" s="1"/>
      <c r="T98" s="1"/>
    </row>
    <row r="100" spans="19:24" x14ac:dyDescent="0.25">
      <c r="W100">
        <f>3.5*3</f>
        <v>10.5</v>
      </c>
    </row>
    <row r="102" spans="19:24" x14ac:dyDescent="0.25">
      <c r="X102">
        <f>10.5/12</f>
        <v>0.875</v>
      </c>
    </row>
  </sheetData>
  <sheetProtection algorithmName="SHA-512" hashValue="dau07fBOK1PMeAlZwGj9WuaJ9CwShicuBi5dPcz/ez4Ld1GUiaY7l6ArYw38JWxfXn2Kivk1XZAtcIq2sHP2bQ==" saltValue="lHB5kpqHcx1c3eSjrCQiLg==" spinCount="100000" sheet="1" objects="1" scenarios="1"/>
  <mergeCells count="1">
    <mergeCell ref="G16:G17"/>
  </mergeCells>
  <pageMargins left="0.7" right="0.7" top="0.75" bottom="0.75" header="0.3" footer="0.3"/>
  <pageSetup paperSize="9" scale="76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AF102"/>
  <sheetViews>
    <sheetView topLeftCell="A4" zoomScale="50" zoomScaleNormal="50" workbookViewId="0">
      <selection activeCell="H18" sqref="H18:K19"/>
    </sheetView>
  </sheetViews>
  <sheetFormatPr baseColWidth="10" defaultColWidth="8.85546875" defaultRowHeight="15" x14ac:dyDescent="0.25"/>
  <cols>
    <col min="6" max="6" width="2.85546875" customWidth="1"/>
    <col min="7" max="7" width="25.7109375" customWidth="1"/>
    <col min="8" max="8" width="18.7109375" customWidth="1"/>
    <col min="9" max="9" width="21.42578125" customWidth="1"/>
    <col min="10" max="10" width="17.42578125" customWidth="1"/>
    <col min="11" max="11" width="20.5703125" customWidth="1"/>
    <col min="12" max="12" width="23" customWidth="1"/>
    <col min="13" max="14" width="20.5703125" customWidth="1"/>
    <col min="15" max="15" width="26.5703125" customWidth="1"/>
    <col min="16" max="16" width="28.7109375" customWidth="1"/>
    <col min="17" max="17" width="25.140625" customWidth="1"/>
    <col min="18" max="18" width="19.5703125" customWidth="1"/>
    <col min="19" max="19" width="14.5703125" customWidth="1"/>
    <col min="20" max="20" width="20.5703125" customWidth="1"/>
    <col min="21" max="21" width="24" customWidth="1"/>
    <col min="22" max="22" width="18" customWidth="1"/>
    <col min="23" max="27" width="20.5703125" customWidth="1"/>
    <col min="28" max="28" width="18.42578125" customWidth="1"/>
    <col min="29" max="29" width="23" customWidth="1"/>
    <col min="30" max="30" width="24.7109375" customWidth="1"/>
    <col min="31" max="31" width="22.140625" customWidth="1"/>
    <col min="32" max="32" width="16.85546875" customWidth="1"/>
    <col min="33" max="33" width="2.7109375" customWidth="1"/>
  </cols>
  <sheetData>
    <row r="4" spans="6:32" ht="19.5" x14ac:dyDescent="0.25">
      <c r="F4" s="1"/>
      <c r="K4" s="2"/>
      <c r="L4" s="2"/>
      <c r="AD4" s="2"/>
      <c r="AE4" s="1"/>
    </row>
    <row r="5" spans="6:32" ht="19.5" x14ac:dyDescent="0.25">
      <c r="AE5" s="1"/>
      <c r="AF5" s="1"/>
    </row>
    <row r="6" spans="6:32" ht="19.5" x14ac:dyDescent="0.25"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F6" s="2"/>
    </row>
    <row r="7" spans="6:32" ht="19.5" x14ac:dyDescent="0.25">
      <c r="F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E7" s="2"/>
    </row>
    <row r="8" spans="6:32" ht="19.5" x14ac:dyDescent="0.25">
      <c r="F8" s="1"/>
      <c r="N8" s="2"/>
      <c r="O8" s="17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E8" s="2"/>
    </row>
    <row r="9" spans="6:32" ht="19.5" x14ac:dyDescent="0.25">
      <c r="F9" s="1"/>
      <c r="J9" s="16"/>
      <c r="M9" s="1"/>
      <c r="O9" s="16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2"/>
      <c r="AC9" s="2"/>
      <c r="AE9" s="2"/>
    </row>
    <row r="10" spans="6:32" ht="26.25" x14ac:dyDescent="0.4">
      <c r="F10" s="1"/>
      <c r="G10" s="2"/>
      <c r="H10" s="2"/>
      <c r="I10" s="17"/>
      <c r="J10" s="17"/>
      <c r="K10" s="160" t="s">
        <v>401</v>
      </c>
      <c r="L10" s="160"/>
      <c r="M10" s="160"/>
      <c r="N10" s="161"/>
      <c r="O10" s="1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E10" s="2"/>
    </row>
    <row r="11" spans="6:32" ht="19.5" x14ac:dyDescent="0.25">
      <c r="F11" s="2"/>
      <c r="G11" s="2"/>
      <c r="H11" s="2"/>
      <c r="I11" s="2"/>
      <c r="J11" s="2"/>
      <c r="M11" s="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E11" s="1"/>
    </row>
    <row r="12" spans="6:32" ht="26.25" x14ac:dyDescent="0.4">
      <c r="F12" s="1"/>
      <c r="G12" s="1"/>
      <c r="H12" s="97" t="s">
        <v>371</v>
      </c>
      <c r="I12" s="48"/>
      <c r="J12" s="48"/>
      <c r="K12" s="9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E12" s="1"/>
    </row>
    <row r="13" spans="6:32" ht="19.5" x14ac:dyDescent="0.25">
      <c r="F13" s="1"/>
      <c r="G13" s="1"/>
      <c r="H13" s="1"/>
      <c r="I13" s="1"/>
      <c r="J13" s="1"/>
      <c r="K13" s="3"/>
      <c r="L13" s="3"/>
      <c r="M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E13" s="1"/>
    </row>
    <row r="14" spans="6:32" ht="25.5" x14ac:dyDescent="0.35">
      <c r="F14" s="1"/>
      <c r="G14" s="1"/>
      <c r="H14" s="99" t="s">
        <v>45</v>
      </c>
      <c r="I14" s="20"/>
      <c r="J14" s="1"/>
      <c r="K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6:32" ht="20.25" thickBot="1" x14ac:dyDescent="0.3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6:32" ht="19.5" x14ac:dyDescent="0.25">
      <c r="F16" s="1"/>
      <c r="G16" s="191" t="s">
        <v>0</v>
      </c>
      <c r="H16" s="9" t="s">
        <v>2</v>
      </c>
      <c r="I16" s="9" t="s">
        <v>4</v>
      </c>
      <c r="J16" s="9" t="s">
        <v>19</v>
      </c>
      <c r="K16" s="12" t="s">
        <v>14</v>
      </c>
      <c r="L16" s="50" t="s">
        <v>60</v>
      </c>
      <c r="M16" s="50" t="s">
        <v>60</v>
      </c>
      <c r="N16" s="50" t="s">
        <v>60</v>
      </c>
      <c r="O16" s="45" t="s">
        <v>60</v>
      </c>
      <c r="P16" s="45" t="s">
        <v>60</v>
      </c>
      <c r="Q16" s="45" t="s">
        <v>60</v>
      </c>
      <c r="R16" s="11"/>
    </row>
    <row r="17" spans="6:23" ht="23.25" thickBot="1" x14ac:dyDescent="0.3">
      <c r="F17" s="1"/>
      <c r="G17" s="192"/>
      <c r="H17" s="10" t="s">
        <v>387</v>
      </c>
      <c r="I17" s="10" t="s">
        <v>387</v>
      </c>
      <c r="J17" s="10" t="s">
        <v>387</v>
      </c>
      <c r="K17" s="10" t="s">
        <v>387</v>
      </c>
      <c r="L17" s="51" t="s">
        <v>61</v>
      </c>
      <c r="M17" s="51" t="s">
        <v>70</v>
      </c>
      <c r="N17" s="51" t="s">
        <v>71</v>
      </c>
      <c r="O17" s="46" t="s">
        <v>62</v>
      </c>
      <c r="P17" s="46" t="s">
        <v>334</v>
      </c>
      <c r="Q17" s="47" t="s">
        <v>335</v>
      </c>
    </row>
    <row r="18" spans="6:23" ht="55.9" customHeight="1" thickBot="1" x14ac:dyDescent="0.3">
      <c r="F18" s="4"/>
      <c r="G18" s="7" t="s">
        <v>186</v>
      </c>
      <c r="H18" s="55"/>
      <c r="I18" s="55"/>
      <c r="J18" s="55"/>
      <c r="K18" s="55"/>
      <c r="L18" s="53">
        <f>(((H18*I18*J18*K18)*350)/50)*1.05</f>
        <v>0</v>
      </c>
      <c r="M18" s="53">
        <f>H18*I18*J18*K18*0.8*1.05</f>
        <v>0</v>
      </c>
      <c r="N18" s="53">
        <f>H18*I18*J18*K18*0.4*1.05</f>
        <v>0</v>
      </c>
      <c r="O18" s="54">
        <f t="shared" ref="O18:O27" si="0">L18/20</f>
        <v>0</v>
      </c>
      <c r="P18" s="54">
        <f>(M18*1700)/1000</f>
        <v>0</v>
      </c>
      <c r="Q18" s="54">
        <f>(N18*1600)/1000</f>
        <v>0</v>
      </c>
      <c r="S18" s="5"/>
    </row>
    <row r="19" spans="6:23" ht="55.9" customHeight="1" thickBot="1" x14ac:dyDescent="0.3">
      <c r="F19" s="4"/>
      <c r="G19" s="7" t="s">
        <v>187</v>
      </c>
      <c r="H19" s="55"/>
      <c r="I19" s="55"/>
      <c r="J19" s="55"/>
      <c r="K19" s="55"/>
      <c r="L19" s="53">
        <f t="shared" ref="L19:L27" si="1">(((H19*I19*J19*K19)*350)/50)*1.1</f>
        <v>0</v>
      </c>
      <c r="M19" s="53">
        <f t="shared" ref="M19:M27" si="2">H19*I19*J19*K19*0.8*1.05</f>
        <v>0</v>
      </c>
      <c r="N19" s="53">
        <f t="shared" ref="N19:N27" si="3">H19*I19*J19*K19*0.4*1.05</f>
        <v>0</v>
      </c>
      <c r="O19" s="54">
        <f t="shared" si="0"/>
        <v>0</v>
      </c>
      <c r="P19" s="54">
        <f t="shared" ref="P19:P27" si="4">(M19*1700)/1000</f>
        <v>0</v>
      </c>
      <c r="Q19" s="54">
        <f t="shared" ref="Q19:Q27" si="5">(N19*1600)/1000</f>
        <v>0</v>
      </c>
      <c r="R19" s="1"/>
      <c r="U19" s="5"/>
    </row>
    <row r="20" spans="6:23" ht="55.9" customHeight="1" thickBot="1" x14ac:dyDescent="0.3">
      <c r="F20" s="4"/>
      <c r="G20" s="7" t="s">
        <v>188</v>
      </c>
      <c r="H20" s="55"/>
      <c r="I20" s="55"/>
      <c r="J20" s="55"/>
      <c r="K20" s="55"/>
      <c r="L20" s="53">
        <f t="shared" si="1"/>
        <v>0</v>
      </c>
      <c r="M20" s="53">
        <f t="shared" si="2"/>
        <v>0</v>
      </c>
      <c r="N20" s="53">
        <f t="shared" si="3"/>
        <v>0</v>
      </c>
      <c r="O20" s="54">
        <f t="shared" si="0"/>
        <v>0</v>
      </c>
      <c r="P20" s="54">
        <f t="shared" si="4"/>
        <v>0</v>
      </c>
      <c r="Q20" s="54">
        <f t="shared" si="5"/>
        <v>0</v>
      </c>
      <c r="R20" s="1"/>
      <c r="U20" s="5"/>
    </row>
    <row r="21" spans="6:23" ht="55.9" customHeight="1" thickBot="1" x14ac:dyDescent="0.3">
      <c r="F21" s="4"/>
      <c r="G21" s="7" t="s">
        <v>189</v>
      </c>
      <c r="H21" s="55"/>
      <c r="I21" s="55"/>
      <c r="J21" s="55"/>
      <c r="K21" s="55"/>
      <c r="L21" s="53">
        <f t="shared" si="1"/>
        <v>0</v>
      </c>
      <c r="M21" s="53">
        <f t="shared" si="2"/>
        <v>0</v>
      </c>
      <c r="N21" s="53">
        <f t="shared" si="3"/>
        <v>0</v>
      </c>
      <c r="O21" s="54">
        <f t="shared" si="0"/>
        <v>0</v>
      </c>
      <c r="P21" s="54">
        <f t="shared" si="4"/>
        <v>0</v>
      </c>
      <c r="Q21" s="54">
        <f t="shared" si="5"/>
        <v>0</v>
      </c>
      <c r="R21" s="2"/>
      <c r="U21" s="5"/>
    </row>
    <row r="22" spans="6:23" ht="55.9" customHeight="1" thickBot="1" x14ac:dyDescent="0.3">
      <c r="F22" s="4"/>
      <c r="G22" s="7" t="s">
        <v>190</v>
      </c>
      <c r="H22" s="55"/>
      <c r="I22" s="55"/>
      <c r="J22" s="55"/>
      <c r="K22" s="55"/>
      <c r="L22" s="53">
        <f t="shared" si="1"/>
        <v>0</v>
      </c>
      <c r="M22" s="53">
        <f t="shared" si="2"/>
        <v>0</v>
      </c>
      <c r="N22" s="53">
        <f t="shared" si="3"/>
        <v>0</v>
      </c>
      <c r="O22" s="54">
        <f t="shared" si="0"/>
        <v>0</v>
      </c>
      <c r="P22" s="54">
        <f t="shared" si="4"/>
        <v>0</v>
      </c>
      <c r="Q22" s="54">
        <f t="shared" si="5"/>
        <v>0</v>
      </c>
      <c r="R22" s="1"/>
      <c r="U22" s="16"/>
    </row>
    <row r="23" spans="6:23" ht="55.9" customHeight="1" thickBot="1" x14ac:dyDescent="0.3">
      <c r="F23" s="4"/>
      <c r="G23" s="7" t="s">
        <v>191</v>
      </c>
      <c r="H23" s="55"/>
      <c r="I23" s="55"/>
      <c r="J23" s="55"/>
      <c r="K23" s="55"/>
      <c r="L23" s="53">
        <f t="shared" si="1"/>
        <v>0</v>
      </c>
      <c r="M23" s="53">
        <f t="shared" si="2"/>
        <v>0</v>
      </c>
      <c r="N23" s="53">
        <f t="shared" si="3"/>
        <v>0</v>
      </c>
      <c r="O23" s="54">
        <f t="shared" si="0"/>
        <v>0</v>
      </c>
      <c r="P23" s="54">
        <f t="shared" si="4"/>
        <v>0</v>
      </c>
      <c r="Q23" s="54">
        <f t="shared" si="5"/>
        <v>0</v>
      </c>
    </row>
    <row r="24" spans="6:23" ht="55.9" customHeight="1" thickBot="1" x14ac:dyDescent="0.3">
      <c r="F24" s="4"/>
      <c r="G24" s="7" t="s">
        <v>192</v>
      </c>
      <c r="H24" s="55"/>
      <c r="I24" s="55"/>
      <c r="J24" s="55"/>
      <c r="K24" s="55"/>
      <c r="L24" s="53">
        <f t="shared" si="1"/>
        <v>0</v>
      </c>
      <c r="M24" s="53">
        <f t="shared" si="2"/>
        <v>0</v>
      </c>
      <c r="N24" s="53">
        <f t="shared" si="3"/>
        <v>0</v>
      </c>
      <c r="O24" s="54">
        <f t="shared" si="0"/>
        <v>0</v>
      </c>
      <c r="P24" s="54">
        <f t="shared" si="4"/>
        <v>0</v>
      </c>
      <c r="Q24" s="54">
        <f t="shared" si="5"/>
        <v>0</v>
      </c>
    </row>
    <row r="25" spans="6:23" ht="55.9" customHeight="1" thickBot="1" x14ac:dyDescent="0.3">
      <c r="F25" s="1"/>
      <c r="G25" s="7" t="s">
        <v>193</v>
      </c>
      <c r="H25" s="55"/>
      <c r="I25" s="55"/>
      <c r="J25" s="55"/>
      <c r="K25" s="55"/>
      <c r="L25" s="53">
        <f t="shared" si="1"/>
        <v>0</v>
      </c>
      <c r="M25" s="53">
        <f t="shared" si="2"/>
        <v>0</v>
      </c>
      <c r="N25" s="53">
        <f t="shared" si="3"/>
        <v>0</v>
      </c>
      <c r="O25" s="54">
        <f t="shared" si="0"/>
        <v>0</v>
      </c>
      <c r="P25" s="54">
        <f t="shared" si="4"/>
        <v>0</v>
      </c>
      <c r="Q25" s="54">
        <f t="shared" si="5"/>
        <v>0</v>
      </c>
    </row>
    <row r="26" spans="6:23" ht="55.9" customHeight="1" thickBot="1" x14ac:dyDescent="0.3">
      <c r="F26" s="1"/>
      <c r="G26" s="7" t="s">
        <v>194</v>
      </c>
      <c r="H26" s="55"/>
      <c r="I26" s="55"/>
      <c r="J26" s="55"/>
      <c r="K26" s="55"/>
      <c r="L26" s="53">
        <f t="shared" si="1"/>
        <v>0</v>
      </c>
      <c r="M26" s="53">
        <f t="shared" si="2"/>
        <v>0</v>
      </c>
      <c r="N26" s="53">
        <f t="shared" si="3"/>
        <v>0</v>
      </c>
      <c r="O26" s="54">
        <f t="shared" si="0"/>
        <v>0</v>
      </c>
      <c r="P26" s="54">
        <f t="shared" si="4"/>
        <v>0</v>
      </c>
      <c r="Q26" s="54">
        <f t="shared" si="5"/>
        <v>0</v>
      </c>
      <c r="S26" s="1"/>
      <c r="V26" s="1"/>
      <c r="W26" s="1"/>
    </row>
    <row r="27" spans="6:23" ht="55.9" customHeight="1" thickBot="1" x14ac:dyDescent="0.3">
      <c r="F27" s="1"/>
      <c r="G27" s="7" t="s">
        <v>195</v>
      </c>
      <c r="H27" s="55"/>
      <c r="I27" s="55"/>
      <c r="J27" s="55"/>
      <c r="K27" s="55"/>
      <c r="L27" s="53">
        <f t="shared" si="1"/>
        <v>0</v>
      </c>
      <c r="M27" s="53">
        <f t="shared" si="2"/>
        <v>0</v>
      </c>
      <c r="N27" s="53">
        <f t="shared" si="3"/>
        <v>0</v>
      </c>
      <c r="O27" s="54">
        <f t="shared" si="0"/>
        <v>0</v>
      </c>
      <c r="P27" s="54">
        <f t="shared" si="4"/>
        <v>0</v>
      </c>
      <c r="Q27" s="54">
        <f t="shared" si="5"/>
        <v>0</v>
      </c>
      <c r="S27" s="1"/>
      <c r="V27" s="1"/>
    </row>
    <row r="28" spans="6:23" ht="20.25" thickBot="1" x14ac:dyDescent="0.3">
      <c r="F28" s="1"/>
      <c r="G28" s="62"/>
      <c r="S28" s="2"/>
    </row>
    <row r="29" spans="6:23" ht="31.15" customHeight="1" thickBot="1" x14ac:dyDescent="0.45">
      <c r="F29" s="4"/>
      <c r="K29" s="76" t="s">
        <v>223</v>
      </c>
      <c r="L29" s="73">
        <f>SUM(L18:L27)</f>
        <v>0</v>
      </c>
      <c r="M29" s="73">
        <f t="shared" ref="M29:Q29" si="6">SUM(M18:M27)</f>
        <v>0</v>
      </c>
      <c r="N29" s="73">
        <f t="shared" si="6"/>
        <v>0</v>
      </c>
      <c r="O29" s="73">
        <f t="shared" si="6"/>
        <v>0</v>
      </c>
      <c r="P29" s="73">
        <f t="shared" si="6"/>
        <v>0</v>
      </c>
      <c r="Q29" s="73">
        <f t="shared" si="6"/>
        <v>0</v>
      </c>
      <c r="S29" s="1"/>
    </row>
    <row r="30" spans="6:23" ht="19.5" x14ac:dyDescent="0.25">
      <c r="F30" s="4"/>
      <c r="K30" s="62"/>
    </row>
    <row r="31" spans="6:23" ht="19.5" x14ac:dyDescent="0.25">
      <c r="F31" s="4"/>
      <c r="O31" s="24"/>
    </row>
    <row r="32" spans="6:23" ht="55.9" customHeight="1" x14ac:dyDescent="0.25">
      <c r="F32" s="4"/>
      <c r="J32">
        <f>11.9+7.9</f>
        <v>19.8</v>
      </c>
    </row>
    <row r="33" spans="6:25" ht="19.5" x14ac:dyDescent="0.25">
      <c r="F33" s="4"/>
      <c r="J33">
        <f>50*0.012</f>
        <v>0.6</v>
      </c>
      <c r="U33" s="1"/>
      <c r="V33" s="1"/>
      <c r="Y33" s="1"/>
    </row>
    <row r="34" spans="6:25" ht="19.5" x14ac:dyDescent="0.25">
      <c r="F34" s="4"/>
      <c r="V34" s="1"/>
      <c r="Y34" s="1"/>
    </row>
    <row r="35" spans="6:25" ht="19.5" x14ac:dyDescent="0.25">
      <c r="F35" s="4"/>
      <c r="V35" s="1"/>
      <c r="Y35" s="1"/>
    </row>
    <row r="36" spans="6:25" ht="19.5" x14ac:dyDescent="0.25">
      <c r="Y36" s="1"/>
    </row>
    <row r="37" spans="6:25" ht="19.5" x14ac:dyDescent="0.25">
      <c r="W37" s="1"/>
    </row>
    <row r="38" spans="6:25" ht="19.5" x14ac:dyDescent="0.25">
      <c r="W38" s="1"/>
    </row>
    <row r="39" spans="6:25" ht="55.9" customHeight="1" x14ac:dyDescent="0.25">
      <c r="W39" s="1"/>
    </row>
    <row r="40" spans="6:25" ht="19.5" x14ac:dyDescent="0.25">
      <c r="Y40" s="1"/>
    </row>
    <row r="41" spans="6:25" ht="19.5" x14ac:dyDescent="0.25">
      <c r="W41">
        <f>1.5/W42</f>
        <v>25</v>
      </c>
      <c r="Y41" s="1"/>
    </row>
    <row r="42" spans="6:25" x14ac:dyDescent="0.25">
      <c r="W42">
        <f>0.2*0.3</f>
        <v>0.06</v>
      </c>
    </row>
    <row r="43" spans="6:25" ht="19.5" x14ac:dyDescent="0.25">
      <c r="F43" s="4"/>
      <c r="T43" s="1"/>
      <c r="U43" s="1">
        <f>W42/1.5</f>
        <v>0.04</v>
      </c>
      <c r="V43" s="1"/>
      <c r="W43" s="1"/>
      <c r="X43" s="4"/>
      <c r="Y43" s="1"/>
    </row>
    <row r="44" spans="6:25" ht="19.5" x14ac:dyDescent="0.25">
      <c r="F44" s="1"/>
      <c r="T44" s="1"/>
      <c r="U44" s="1">
        <f>1/U45</f>
        <v>138.88888888888889</v>
      </c>
      <c r="V44" s="1"/>
      <c r="W44" s="1"/>
      <c r="X44" s="1"/>
      <c r="Y44" s="1"/>
    </row>
    <row r="45" spans="6:25" ht="55.9" customHeight="1" x14ac:dyDescent="0.25">
      <c r="F45" s="4"/>
      <c r="U45">
        <f>0.3*0.3*0.08</f>
        <v>7.1999999999999998E-3</v>
      </c>
    </row>
    <row r="46" spans="6:25" ht="19.5" x14ac:dyDescent="0.25">
      <c r="F46" s="4"/>
      <c r="W46">
        <f>U45/1</f>
        <v>7.1999999999999998E-3</v>
      </c>
    </row>
    <row r="47" spans="6:25" ht="19.5" x14ac:dyDescent="0.25">
      <c r="F47" s="4"/>
    </row>
    <row r="48" spans="6:25" x14ac:dyDescent="0.25">
      <c r="U48">
        <f>1.5/0.2*0.3</f>
        <v>2.25</v>
      </c>
    </row>
    <row r="49" spans="21:27" ht="19.5" x14ac:dyDescent="0.25">
      <c r="W49" s="1"/>
    </row>
    <row r="50" spans="21:27" ht="19.5" x14ac:dyDescent="0.25">
      <c r="W50" s="2"/>
    </row>
    <row r="51" spans="21:27" ht="55.9" customHeight="1" x14ac:dyDescent="0.25">
      <c r="W51" s="2"/>
    </row>
    <row r="52" spans="21:27" ht="19.5" x14ac:dyDescent="0.25">
      <c r="U52">
        <f>U54/U53</f>
        <v>110.97058823529412</v>
      </c>
      <c r="V52">
        <f>1/U53</f>
        <v>98.039215686274503</v>
      </c>
      <c r="W52" s="2"/>
    </row>
    <row r="53" spans="21:27" ht="19.5" x14ac:dyDescent="0.25">
      <c r="U53">
        <f>0.17*0.3*0.2</f>
        <v>1.0200000000000001E-2</v>
      </c>
      <c r="W53" s="2"/>
    </row>
    <row r="54" spans="21:27" ht="19.5" x14ac:dyDescent="0.25">
      <c r="U54">
        <f>1.1*1.05*0.98</f>
        <v>1.1319000000000001</v>
      </c>
      <c r="W54" s="2"/>
    </row>
    <row r="55" spans="21:27" ht="19.5" x14ac:dyDescent="0.25">
      <c r="W55" s="1"/>
    </row>
    <row r="56" spans="21:27" ht="19.5" x14ac:dyDescent="0.25">
      <c r="U56">
        <f>400/1.5</f>
        <v>266.66666666666669</v>
      </c>
      <c r="W56" s="1"/>
    </row>
    <row r="57" spans="21:27" ht="55.9" customHeight="1" x14ac:dyDescent="0.25">
      <c r="W57" s="1"/>
    </row>
    <row r="58" spans="21:27" ht="19.5" x14ac:dyDescent="0.25">
      <c r="X58" s="1"/>
    </row>
    <row r="59" spans="21:27" ht="19.5" x14ac:dyDescent="0.25">
      <c r="X59" s="1"/>
    </row>
    <row r="60" spans="21:27" ht="19.5" x14ac:dyDescent="0.25">
      <c r="V60">
        <f>266*1.5</f>
        <v>399</v>
      </c>
      <c r="X60" s="1"/>
    </row>
    <row r="61" spans="21:27" ht="19.5" x14ac:dyDescent="0.25">
      <c r="X61" s="1"/>
    </row>
    <row r="62" spans="21:27" ht="19.5" x14ac:dyDescent="0.25">
      <c r="X62" s="1"/>
    </row>
    <row r="63" spans="21:27" ht="55.9" customHeight="1" x14ac:dyDescent="0.25">
      <c r="X63" s="1"/>
    </row>
    <row r="64" spans="21:27" ht="19.5" x14ac:dyDescent="0.25">
      <c r="AA64" s="1"/>
    </row>
    <row r="65" spans="19:30" ht="19.5" x14ac:dyDescent="0.25">
      <c r="AA65" s="1"/>
    </row>
    <row r="66" spans="19:30" ht="19.5" x14ac:dyDescent="0.25">
      <c r="AC66" s="1"/>
    </row>
    <row r="67" spans="19:30" ht="21" customHeight="1" x14ac:dyDescent="0.25">
      <c r="S67" s="2"/>
      <c r="AD67" s="1"/>
    </row>
    <row r="68" spans="19:30" ht="21" customHeight="1" x14ac:dyDescent="0.25">
      <c r="AB68" s="1"/>
    </row>
    <row r="69" spans="19:30" ht="19.5" x14ac:dyDescent="0.25">
      <c r="Z69" s="1"/>
    </row>
    <row r="70" spans="19:30" ht="19.5" x14ac:dyDescent="0.25">
      <c r="Z70" s="1"/>
    </row>
    <row r="71" spans="19:30" ht="19.5" x14ac:dyDescent="0.25">
      <c r="Z71" s="1"/>
    </row>
    <row r="72" spans="19:30" ht="19.5" x14ac:dyDescent="0.25">
      <c r="AD72" s="1"/>
    </row>
    <row r="73" spans="19:30" ht="19.5" x14ac:dyDescent="0.25">
      <c r="AD73" s="1"/>
    </row>
    <row r="74" spans="19:30" ht="20.25" thickBot="1" x14ac:dyDescent="0.3">
      <c r="S74" s="1"/>
    </row>
    <row r="75" spans="19:30" ht="19.5" x14ac:dyDescent="0.25">
      <c r="S75" s="14" t="s">
        <v>5</v>
      </c>
    </row>
    <row r="76" spans="19:30" ht="20.25" thickBot="1" x14ac:dyDescent="0.3">
      <c r="S76" s="15" t="s">
        <v>32</v>
      </c>
    </row>
    <row r="77" spans="19:30" ht="20.25" thickBot="1" x14ac:dyDescent="0.3">
      <c r="S77" s="8" t="e">
        <f>#REF!/10</f>
        <v>#REF!</v>
      </c>
    </row>
    <row r="78" spans="19:30" ht="20.25" thickBot="1" x14ac:dyDescent="0.3">
      <c r="S78" s="8" t="e">
        <f>#REF!/10</f>
        <v>#REF!</v>
      </c>
    </row>
    <row r="79" spans="19:30" ht="20.25" thickBot="1" x14ac:dyDescent="0.3">
      <c r="S79" s="8" t="e">
        <f>#REF!/10</f>
        <v>#REF!</v>
      </c>
    </row>
    <row r="82" spans="19:19" ht="20.25" thickBot="1" x14ac:dyDescent="0.3">
      <c r="S82" s="1"/>
    </row>
    <row r="83" spans="19:19" ht="19.5" x14ac:dyDescent="0.25">
      <c r="S83" s="14" t="s">
        <v>5</v>
      </c>
    </row>
    <row r="84" spans="19:19" ht="18.600000000000001" customHeight="1" thickBot="1" x14ac:dyDescent="0.3">
      <c r="S84" s="15" t="s">
        <v>32</v>
      </c>
    </row>
    <row r="85" spans="19:19" ht="19.149999999999999" customHeight="1" thickBot="1" x14ac:dyDescent="0.3">
      <c r="S85" s="8" t="e">
        <f>#REF!/10</f>
        <v>#REF!</v>
      </c>
    </row>
    <row r="86" spans="19:19" ht="20.25" thickBot="1" x14ac:dyDescent="0.3">
      <c r="S86" s="8" t="e">
        <f>#REF!/10</f>
        <v>#REF!</v>
      </c>
    </row>
    <row r="87" spans="19:19" ht="20.25" thickBot="1" x14ac:dyDescent="0.3">
      <c r="S87" s="8" t="e">
        <f>#REF!/10</f>
        <v>#REF!</v>
      </c>
    </row>
    <row r="90" spans="19:19" ht="20.25" thickBot="1" x14ac:dyDescent="0.3">
      <c r="S90" s="1"/>
    </row>
    <row r="91" spans="19:19" ht="19.5" x14ac:dyDescent="0.25">
      <c r="S91" s="14" t="s">
        <v>5</v>
      </c>
    </row>
    <row r="92" spans="19:19" ht="20.25" thickBot="1" x14ac:dyDescent="0.3">
      <c r="S92" s="15" t="s">
        <v>32</v>
      </c>
    </row>
    <row r="93" spans="19:19" ht="20.25" thickBot="1" x14ac:dyDescent="0.3">
      <c r="S93" s="8" t="e">
        <f>#REF!/10</f>
        <v>#REF!</v>
      </c>
    </row>
    <row r="94" spans="19:19" ht="20.25" thickBot="1" x14ac:dyDescent="0.3">
      <c r="S94" s="8" t="e">
        <f>#REF!/10</f>
        <v>#REF!</v>
      </c>
    </row>
    <row r="95" spans="19:19" ht="20.25" thickBot="1" x14ac:dyDescent="0.3">
      <c r="S95" s="8" t="e">
        <f>#REF!/10</f>
        <v>#REF!</v>
      </c>
    </row>
    <row r="98" spans="19:24" ht="19.5" x14ac:dyDescent="0.25">
      <c r="S98" s="1"/>
      <c r="T98" s="1"/>
    </row>
    <row r="100" spans="19:24" x14ac:dyDescent="0.25">
      <c r="W100">
        <f>3.5*3</f>
        <v>10.5</v>
      </c>
    </row>
    <row r="102" spans="19:24" x14ac:dyDescent="0.25">
      <c r="X102">
        <f>10.5/12</f>
        <v>0.875</v>
      </c>
    </row>
  </sheetData>
  <sheetProtection algorithmName="SHA-512" hashValue="U+ksZb262mlRsyXK3fhXrPT3DDRSiyBhkxW/Kn4w1QDlr+IVJnx/oBm4iyPw0SrtGbsKJ+jCwCR0QzGIVWnOfQ==" saltValue="dWdBt9BAi9CX2MQ6S/Yulw==" spinCount="100000" sheet="1" objects="1" scenarios="1"/>
  <mergeCells count="1">
    <mergeCell ref="G16:G17"/>
  </mergeCells>
  <pageMargins left="0.7" right="0.7" top="0.75" bottom="0.75" header="0.3" footer="0.3"/>
  <pageSetup paperSize="9" scale="7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27</vt:i4>
      </vt:variant>
      <vt:variant>
        <vt:lpstr>Plages nommées</vt:lpstr>
      </vt:variant>
      <vt:variant>
        <vt:i4>12</vt:i4>
      </vt:variant>
    </vt:vector>
  </HeadingPairs>
  <TitlesOfParts>
    <vt:vector size="39" baseType="lpstr">
      <vt:lpstr>Beton dalle corps creux 16+4</vt:lpstr>
      <vt:lpstr>Beton (C+G+S) unitaire</vt:lpstr>
      <vt:lpstr>Beton (C+G+S) poteaux</vt:lpstr>
      <vt:lpstr>Beton (C+G+S) poutre</vt:lpstr>
      <vt:lpstr>Beton (C+G+S) poutrelle prefa</vt:lpstr>
      <vt:lpstr>Beton (C+G+S) poutrelle</vt:lpstr>
      <vt:lpstr>Beton (C+G+S) semelle isolee</vt:lpstr>
      <vt:lpstr>Beton (C+G+S) semelle filante</vt:lpstr>
      <vt:lpstr>Beton (C+G+S) dalle pleine</vt:lpstr>
      <vt:lpstr>Beton (C+G+S) dalle de compress</vt:lpstr>
      <vt:lpstr>Quantite maçonnerie</vt:lpstr>
      <vt:lpstr>Corps creux</vt:lpstr>
      <vt:lpstr>Ciment pour jointage de briques</vt:lpstr>
      <vt:lpstr>Ciment pour enduit</vt:lpstr>
      <vt:lpstr>Ciment pour poteaux</vt:lpstr>
      <vt:lpstr>Ciment pour poutre</vt:lpstr>
      <vt:lpstr>Ciment pour poutrelle prefa</vt:lpstr>
      <vt:lpstr>Ciment pour semelle isole</vt:lpstr>
      <vt:lpstr>Ciment beton dalle comprssion</vt:lpstr>
      <vt:lpstr>Ferraillage dalle pleine</vt:lpstr>
      <vt:lpstr>Ferraillage dalle de compressio</vt:lpstr>
      <vt:lpstr>Ferraillage de poteau</vt:lpstr>
      <vt:lpstr>Ferraillage de poutre</vt:lpstr>
      <vt:lpstr>Ferraillage de longrine</vt:lpstr>
      <vt:lpstr>Feraillage poutrelle</vt:lpstr>
      <vt:lpstr>Ferraillage semelle isolee</vt:lpstr>
      <vt:lpstr>Ferraillage semelle filante</vt:lpstr>
      <vt:lpstr>'Beton (C+G+S) dalle de compress'!Zone_d_impression</vt:lpstr>
      <vt:lpstr>'Beton (C+G+S) dalle pleine'!Zone_d_impression</vt:lpstr>
      <vt:lpstr>'Beton (C+G+S) poteaux'!Zone_d_impression</vt:lpstr>
      <vt:lpstr>'Beton (C+G+S) poutre'!Zone_d_impression</vt:lpstr>
      <vt:lpstr>'Beton (C+G+S) poutrelle'!Zone_d_impression</vt:lpstr>
      <vt:lpstr>'Beton (C+G+S) poutrelle prefa'!Zone_d_impression</vt:lpstr>
      <vt:lpstr>'Beton (C+G+S) semelle filante'!Zone_d_impression</vt:lpstr>
      <vt:lpstr>'Beton (C+G+S) semelle isolee'!Zone_d_impression</vt:lpstr>
      <vt:lpstr>'Beton (C+G+S) unitaire'!Zone_d_impression</vt:lpstr>
      <vt:lpstr>'Beton dalle corps creux 16+4'!Zone_d_impression</vt:lpstr>
      <vt:lpstr>'Ferraillage dalle de compressio'!Zone_d_impression</vt:lpstr>
      <vt:lpstr>'Ferraillage dalle pleine'!Zone_d_impression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2024-06-28T15:45:16Z</dcterms:modified>
</cp:coreProperties>
</file>