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eille\Desktop\"/>
    </mc:Choice>
  </mc:AlternateContent>
  <xr:revisionPtr revIDLastSave="0" documentId="13_ncr:1_{6E3D4E1E-89BA-4BC5-AC1C-2FC5358FE6E3}" xr6:coauthVersionLast="47" xr6:coauthVersionMax="47" xr10:uidLastSave="{00000000-0000-0000-0000-000000000000}"/>
  <bookViews>
    <workbookView xWindow="-108" yWindow="-108" windowWidth="23256" windowHeight="12456" firstSheet="2" activeTab="2" xr2:uid="{12497233-E305-1241-A851-050F3FEF4DB0}"/>
  </bookViews>
  <sheets>
    <sheet name="Jar_Information" sheetId="2" r:id="rId1"/>
    <sheet name="CO2_Template" sheetId="3" r:id="rId2"/>
    <sheet name="16.02.2022 (set 3)" sheetId="1" r:id="rId3"/>
    <sheet name="24.02.2022 (set 4) " sheetId="4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R39" i="4"/>
  <c r="L39" i="4"/>
  <c r="I39" i="4"/>
  <c r="J39" i="4" s="1"/>
  <c r="K39" i="4" s="1"/>
  <c r="A39" i="4"/>
  <c r="R38" i="4"/>
  <c r="L38" i="4"/>
  <c r="I38" i="4"/>
  <c r="A38" i="4"/>
  <c r="R37" i="4"/>
  <c r="L37" i="4"/>
  <c r="I37" i="4"/>
  <c r="J37" i="4" s="1"/>
  <c r="K37" i="4" s="1"/>
  <c r="A37" i="4"/>
  <c r="R36" i="4"/>
  <c r="L36" i="4"/>
  <c r="I36" i="4"/>
  <c r="J36" i="4" s="1"/>
  <c r="K36" i="4" s="1"/>
  <c r="A36" i="4"/>
  <c r="R35" i="4"/>
  <c r="L35" i="4"/>
  <c r="I35" i="4"/>
  <c r="J35" i="4" s="1"/>
  <c r="K35" i="4" s="1"/>
  <c r="A35" i="4"/>
  <c r="R34" i="4"/>
  <c r="L34" i="4"/>
  <c r="I34" i="4"/>
  <c r="J34" i="4" s="1"/>
  <c r="K34" i="4" s="1"/>
  <c r="A34" i="4"/>
  <c r="R33" i="4"/>
  <c r="L33" i="4"/>
  <c r="I33" i="4"/>
  <c r="J33" i="4" s="1"/>
  <c r="K33" i="4" s="1"/>
  <c r="A33" i="4"/>
  <c r="R32" i="4"/>
  <c r="L32" i="4"/>
  <c r="I32" i="4"/>
  <c r="J32" i="4" s="1"/>
  <c r="K32" i="4" s="1"/>
  <c r="A32" i="4"/>
  <c r="R31" i="4"/>
  <c r="L31" i="4"/>
  <c r="I31" i="4"/>
  <c r="J31" i="4" s="1"/>
  <c r="K31" i="4" s="1"/>
  <c r="A31" i="4"/>
  <c r="R30" i="4"/>
  <c r="L30" i="4"/>
  <c r="I30" i="4"/>
  <c r="A30" i="4"/>
  <c r="R29" i="4"/>
  <c r="L29" i="4"/>
  <c r="I29" i="4"/>
  <c r="J29" i="4" s="1"/>
  <c r="K29" i="4" s="1"/>
  <c r="A29" i="4"/>
  <c r="R28" i="4"/>
  <c r="L28" i="4"/>
  <c r="I28" i="4"/>
  <c r="B28" i="4"/>
  <c r="A28" i="4"/>
  <c r="R27" i="4"/>
  <c r="L27" i="4"/>
  <c r="I27" i="4"/>
  <c r="B27" i="4"/>
  <c r="A27" i="4"/>
  <c r="R26" i="4"/>
  <c r="L26" i="4"/>
  <c r="I26" i="4"/>
  <c r="B26" i="4"/>
  <c r="A26" i="4"/>
  <c r="R25" i="4"/>
  <c r="L25" i="4"/>
  <c r="I25" i="4"/>
  <c r="B25" i="4"/>
  <c r="A25" i="4"/>
  <c r="R24" i="4"/>
  <c r="L24" i="4"/>
  <c r="I24" i="4"/>
  <c r="B24" i="4"/>
  <c r="A24" i="4"/>
  <c r="R23" i="4"/>
  <c r="L23" i="4"/>
  <c r="I23" i="4"/>
  <c r="B23" i="4"/>
  <c r="A23" i="4"/>
  <c r="R22" i="4"/>
  <c r="L22" i="4"/>
  <c r="I22" i="4"/>
  <c r="B22" i="4"/>
  <c r="A22" i="4"/>
  <c r="R21" i="4"/>
  <c r="L21" i="4"/>
  <c r="I21" i="4"/>
  <c r="B21" i="4"/>
  <c r="A21" i="4"/>
  <c r="R20" i="4"/>
  <c r="L20" i="4"/>
  <c r="I20" i="4"/>
  <c r="B20" i="4"/>
  <c r="A20" i="4"/>
  <c r="R19" i="4"/>
  <c r="L19" i="4"/>
  <c r="I19" i="4"/>
  <c r="B19" i="4"/>
  <c r="A19" i="4"/>
  <c r="R18" i="4"/>
  <c r="L18" i="4"/>
  <c r="I18" i="4"/>
  <c r="B18" i="4"/>
  <c r="A18" i="4"/>
  <c r="F15" i="4"/>
  <c r="F14" i="4"/>
  <c r="F13" i="4"/>
  <c r="F12" i="4"/>
  <c r="F11" i="4"/>
  <c r="F10" i="4"/>
  <c r="F9" i="4"/>
  <c r="F8" i="4"/>
  <c r="F7" i="4"/>
  <c r="F6" i="4"/>
  <c r="I9" i="4" s="1"/>
  <c r="F5" i="4"/>
  <c r="I13" i="4" s="1"/>
  <c r="F4" i="4"/>
  <c r="F3" i="4"/>
  <c r="B29" i="1"/>
  <c r="J23" i="4" l="1"/>
  <c r="K23" i="4" s="1"/>
  <c r="J21" i="4"/>
  <c r="K21" i="4" s="1"/>
  <c r="J19" i="4"/>
  <c r="K19" i="4" s="1"/>
  <c r="J27" i="4"/>
  <c r="K27" i="4" s="1"/>
  <c r="J25" i="4"/>
  <c r="K25" i="4" s="1"/>
  <c r="J28" i="4"/>
  <c r="K28" i="4" s="1"/>
  <c r="J20" i="4"/>
  <c r="K20" i="4" s="1"/>
  <c r="J18" i="4"/>
  <c r="K18" i="4" s="1"/>
  <c r="I10" i="4"/>
  <c r="F33" i="4" s="1"/>
  <c r="J26" i="4"/>
  <c r="K26" i="4" s="1"/>
  <c r="I12" i="4"/>
  <c r="G30" i="4" s="1"/>
  <c r="J22" i="4"/>
  <c r="K22" i="4" s="1"/>
  <c r="J38" i="4"/>
  <c r="K38" i="4" s="1"/>
  <c r="J24" i="4"/>
  <c r="K24" i="4" s="1"/>
  <c r="J30" i="4"/>
  <c r="K30" i="4" s="1"/>
  <c r="F34" i="4"/>
  <c r="F38" i="4"/>
  <c r="F22" i="4"/>
  <c r="F30" i="4"/>
  <c r="G33" i="4"/>
  <c r="F19" i="4"/>
  <c r="G22" i="4"/>
  <c r="F27" i="4"/>
  <c r="F35" i="4"/>
  <c r="F32" i="4"/>
  <c r="F24" i="4"/>
  <c r="F21" i="4"/>
  <c r="G24" i="4"/>
  <c r="F29" i="4"/>
  <c r="G32" i="4"/>
  <c r="F37" i="4"/>
  <c r="F26" i="4"/>
  <c r="F39" i="4"/>
  <c r="F23" i="4"/>
  <c r="F31" i="4"/>
  <c r="G34" i="4"/>
  <c r="F20" i="4"/>
  <c r="G23" i="4"/>
  <c r="F28" i="4"/>
  <c r="F36" i="4"/>
  <c r="F25" i="4"/>
  <c r="G28" i="4"/>
  <c r="T33" i="4" l="1"/>
  <c r="M33" i="4"/>
  <c r="G26" i="4"/>
  <c r="G35" i="4"/>
  <c r="G25" i="4"/>
  <c r="G27" i="4"/>
  <c r="G20" i="4"/>
  <c r="G39" i="4"/>
  <c r="G21" i="4"/>
  <c r="G38" i="4"/>
  <c r="G29" i="4"/>
  <c r="G36" i="4"/>
  <c r="G18" i="4"/>
  <c r="G19" i="4"/>
  <c r="G31" i="4"/>
  <c r="G37" i="4"/>
  <c r="F18" i="4"/>
  <c r="T24" i="4"/>
  <c r="M24" i="4"/>
  <c r="M20" i="4"/>
  <c r="T20" i="4"/>
  <c r="M18" i="4"/>
  <c r="T18" i="4"/>
  <c r="M31" i="4"/>
  <c r="T31" i="4"/>
  <c r="T29" i="4"/>
  <c r="M29" i="4"/>
  <c r="M35" i="4"/>
  <c r="T35" i="4"/>
  <c r="M38" i="4"/>
  <c r="T38" i="4"/>
  <c r="M25" i="4"/>
  <c r="T25" i="4"/>
  <c r="N33" i="4"/>
  <c r="O33" i="4" s="1"/>
  <c r="U33" i="4"/>
  <c r="T37" i="4"/>
  <c r="M37" i="4"/>
  <c r="M30" i="4"/>
  <c r="T30" i="4"/>
  <c r="M36" i="4"/>
  <c r="T36" i="4"/>
  <c r="M22" i="4"/>
  <c r="T22" i="4"/>
  <c r="M39" i="4"/>
  <c r="T39" i="4"/>
  <c r="T21" i="4"/>
  <c r="M21" i="4"/>
  <c r="M19" i="4"/>
  <c r="T19" i="4"/>
  <c r="T32" i="4"/>
  <c r="M32" i="4"/>
  <c r="M23" i="4"/>
  <c r="T23" i="4"/>
  <c r="T28" i="4"/>
  <c r="M28" i="4"/>
  <c r="M26" i="4"/>
  <c r="T26" i="4"/>
  <c r="M27" i="4"/>
  <c r="T27" i="4"/>
  <c r="M34" i="4"/>
  <c r="T34" i="4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8" i="1"/>
  <c r="J18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8" i="1"/>
  <c r="U19" i="4" l="1"/>
  <c r="N19" i="4"/>
  <c r="O19" i="4" s="1"/>
  <c r="U31" i="4"/>
  <c r="N31" i="4"/>
  <c r="O31" i="4" s="1"/>
  <c r="N38" i="4"/>
  <c r="O38" i="4" s="1"/>
  <c r="U38" i="4"/>
  <c r="N34" i="4"/>
  <c r="O34" i="4" s="1"/>
  <c r="U34" i="4"/>
  <c r="N23" i="4"/>
  <c r="O23" i="4" s="1"/>
  <c r="U23" i="4"/>
  <c r="N39" i="4"/>
  <c r="O39" i="4" s="1"/>
  <c r="U39" i="4"/>
  <c r="U35" i="4"/>
  <c r="N35" i="4"/>
  <c r="O35" i="4" s="1"/>
  <c r="N20" i="4"/>
  <c r="O20" i="4" s="1"/>
  <c r="U20" i="4"/>
  <c r="N36" i="4"/>
  <c r="O36" i="4" s="1"/>
  <c r="U36" i="4"/>
  <c r="N21" i="4"/>
  <c r="O21" i="4" s="1"/>
  <c r="U21" i="4"/>
  <c r="N18" i="4"/>
  <c r="O18" i="4" s="1"/>
  <c r="U18" i="4"/>
  <c r="U32" i="4"/>
  <c r="N32" i="4"/>
  <c r="O32" i="4" s="1"/>
  <c r="N29" i="4"/>
  <c r="O29" i="4" s="1"/>
  <c r="U29" i="4"/>
  <c r="U24" i="4"/>
  <c r="N24" i="4"/>
  <c r="O24" i="4" s="1"/>
  <c r="N26" i="4"/>
  <c r="O26" i="4" s="1"/>
  <c r="U26" i="4"/>
  <c r="N25" i="4"/>
  <c r="O25" i="4" s="1"/>
  <c r="U25" i="4"/>
  <c r="N28" i="4"/>
  <c r="O28" i="4" s="1"/>
  <c r="U28" i="4"/>
  <c r="N30" i="4"/>
  <c r="O30" i="4" s="1"/>
  <c r="U30" i="4"/>
  <c r="N37" i="4"/>
  <c r="O37" i="4" s="1"/>
  <c r="U37" i="4"/>
  <c r="U27" i="4"/>
  <c r="N27" i="4"/>
  <c r="O27" i="4" s="1"/>
  <c r="N22" i="4"/>
  <c r="O22" i="4" s="1"/>
  <c r="U22" i="4"/>
  <c r="V33" i="4"/>
  <c r="P33" i="4"/>
  <c r="S33" i="4" s="1"/>
  <c r="L28" i="2"/>
  <c r="G28" i="2" s="1"/>
  <c r="H28" i="2" s="1"/>
  <c r="C28" i="2"/>
  <c r="R39" i="1"/>
  <c r="B39" i="1"/>
  <c r="R38" i="1"/>
  <c r="B38" i="1"/>
  <c r="J38" i="1" s="1"/>
  <c r="K38" i="1" s="1"/>
  <c r="R37" i="1"/>
  <c r="B37" i="1"/>
  <c r="R36" i="1"/>
  <c r="B36" i="1"/>
  <c r="R35" i="1"/>
  <c r="B35" i="1"/>
  <c r="R34" i="1"/>
  <c r="B34" i="1"/>
  <c r="J34" i="1" s="1"/>
  <c r="K34" i="1" s="1"/>
  <c r="R33" i="1"/>
  <c r="B33" i="1"/>
  <c r="R32" i="1"/>
  <c r="B32" i="1"/>
  <c r="R31" i="1"/>
  <c r="B31" i="1"/>
  <c r="J31" i="1" s="1"/>
  <c r="K31" i="1" s="1"/>
  <c r="R30" i="1"/>
  <c r="B30" i="1"/>
  <c r="J30" i="1" s="1"/>
  <c r="K30" i="1" s="1"/>
  <c r="R29" i="1"/>
  <c r="R28" i="1"/>
  <c r="B28" i="1"/>
  <c r="J28" i="1" s="1"/>
  <c r="K28" i="1" s="1"/>
  <c r="R27" i="1"/>
  <c r="B27" i="1"/>
  <c r="J27" i="1" s="1"/>
  <c r="K27" i="1" s="1"/>
  <c r="R26" i="1"/>
  <c r="B26" i="1"/>
  <c r="R25" i="1"/>
  <c r="B25" i="1"/>
  <c r="J25" i="1" s="1"/>
  <c r="K25" i="1" s="1"/>
  <c r="R24" i="1"/>
  <c r="B24" i="1"/>
  <c r="J24" i="1" s="1"/>
  <c r="K24" i="1" s="1"/>
  <c r="R23" i="1"/>
  <c r="B23" i="1"/>
  <c r="R22" i="1"/>
  <c r="B22" i="1"/>
  <c r="J22" i="1" s="1"/>
  <c r="K22" i="1" s="1"/>
  <c r="R21" i="1"/>
  <c r="B21" i="1"/>
  <c r="R20" i="1"/>
  <c r="B20" i="1"/>
  <c r="R19" i="1"/>
  <c r="B19" i="1"/>
  <c r="J19" i="1" s="1"/>
  <c r="K19" i="1" s="1"/>
  <c r="R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V27" i="4" l="1"/>
  <c r="P27" i="4"/>
  <c r="S27" i="4" s="1"/>
  <c r="P32" i="4"/>
  <c r="S32" i="4" s="1"/>
  <c r="V32" i="4"/>
  <c r="V25" i="4"/>
  <c r="P25" i="4"/>
  <c r="S25" i="4" s="1"/>
  <c r="P18" i="4"/>
  <c r="S18" i="4" s="1"/>
  <c r="V18" i="4"/>
  <c r="X33" i="4"/>
  <c r="Z33" i="4" s="1"/>
  <c r="W33" i="4"/>
  <c r="Y33" i="4" s="1"/>
  <c r="V30" i="4"/>
  <c r="P30" i="4"/>
  <c r="S30" i="4" s="1"/>
  <c r="P21" i="4"/>
  <c r="S21" i="4" s="1"/>
  <c r="V21" i="4"/>
  <c r="P39" i="4"/>
  <c r="S39" i="4" s="1"/>
  <c r="V39" i="4"/>
  <c r="P20" i="4"/>
  <c r="S20" i="4" s="1"/>
  <c r="V20" i="4"/>
  <c r="P26" i="4"/>
  <c r="S26" i="4" s="1"/>
  <c r="V26" i="4"/>
  <c r="P31" i="4"/>
  <c r="S31" i="4" s="1"/>
  <c r="V31" i="4"/>
  <c r="V19" i="4"/>
  <c r="P19" i="4"/>
  <c r="S19" i="4" s="1"/>
  <c r="P34" i="4"/>
  <c r="S34" i="4" s="1"/>
  <c r="V34" i="4"/>
  <c r="V35" i="4"/>
  <c r="P35" i="4"/>
  <c r="S35" i="4" s="1"/>
  <c r="P37" i="4"/>
  <c r="S37" i="4" s="1"/>
  <c r="V37" i="4"/>
  <c r="V38" i="4"/>
  <c r="P38" i="4"/>
  <c r="S38" i="4" s="1"/>
  <c r="P24" i="4"/>
  <c r="S24" i="4" s="1"/>
  <c r="V24" i="4"/>
  <c r="V22" i="4"/>
  <c r="P22" i="4"/>
  <c r="S22" i="4" s="1"/>
  <c r="P28" i="4"/>
  <c r="S28" i="4" s="1"/>
  <c r="V28" i="4"/>
  <c r="V29" i="4"/>
  <c r="P29" i="4"/>
  <c r="S29" i="4" s="1"/>
  <c r="P36" i="4"/>
  <c r="S36" i="4" s="1"/>
  <c r="V36" i="4"/>
  <c r="P23" i="4"/>
  <c r="S23" i="4" s="1"/>
  <c r="V23" i="4"/>
  <c r="J35" i="1"/>
  <c r="K35" i="1" s="1"/>
  <c r="J21" i="1"/>
  <c r="K21" i="1" s="1"/>
  <c r="J29" i="1"/>
  <c r="K29" i="1" s="1"/>
  <c r="J32" i="1"/>
  <c r="K32" i="1" s="1"/>
  <c r="J20" i="1"/>
  <c r="K20" i="1" s="1"/>
  <c r="J23" i="1"/>
  <c r="K23" i="1" s="1"/>
  <c r="J26" i="1"/>
  <c r="K26" i="1" s="1"/>
  <c r="I12" i="1"/>
  <c r="J37" i="1"/>
  <c r="K37" i="1" s="1"/>
  <c r="K18" i="1"/>
  <c r="J33" i="1"/>
  <c r="K33" i="1" s="1"/>
  <c r="J36" i="1"/>
  <c r="K36" i="1" s="1"/>
  <c r="J39" i="1"/>
  <c r="K39" i="1" s="1"/>
  <c r="I13" i="1"/>
  <c r="I10" i="1"/>
  <c r="I9" i="1"/>
  <c r="T18" i="1" l="1"/>
  <c r="W18" i="4"/>
  <c r="Y18" i="4" s="1"/>
  <c r="X18" i="4"/>
  <c r="Z18" i="4" s="1"/>
  <c r="W38" i="4"/>
  <c r="Y38" i="4" s="1"/>
  <c r="X38" i="4"/>
  <c r="Z38" i="4" s="1"/>
  <c r="X19" i="4"/>
  <c r="Z19" i="4" s="1"/>
  <c r="W19" i="4"/>
  <c r="Y19" i="4" s="1"/>
  <c r="X28" i="4"/>
  <c r="Z28" i="4" s="1"/>
  <c r="W28" i="4"/>
  <c r="Y28" i="4" s="1"/>
  <c r="X31" i="4"/>
  <c r="Z31" i="4" s="1"/>
  <c r="W31" i="4"/>
  <c r="Y31" i="4" s="1"/>
  <c r="X23" i="4"/>
  <c r="Z23" i="4" s="1"/>
  <c r="W23" i="4"/>
  <c r="Y23" i="4" s="1"/>
  <c r="W30" i="4"/>
  <c r="Y30" i="4" s="1"/>
  <c r="X30" i="4"/>
  <c r="Z30" i="4" s="1"/>
  <c r="X26" i="4"/>
  <c r="Z26" i="4" s="1"/>
  <c r="W26" i="4"/>
  <c r="Y26" i="4" s="1"/>
  <c r="X32" i="4"/>
  <c r="Z32" i="4" s="1"/>
  <c r="W32" i="4"/>
  <c r="Y32" i="4" s="1"/>
  <c r="W22" i="4"/>
  <c r="Y22" i="4" s="1"/>
  <c r="X22" i="4"/>
  <c r="Z22" i="4" s="1"/>
  <c r="X36" i="4"/>
  <c r="Z36" i="4" s="1"/>
  <c r="W36" i="4"/>
  <c r="Y36" i="4" s="1"/>
  <c r="X24" i="4"/>
  <c r="Z24" i="4" s="1"/>
  <c r="W24" i="4"/>
  <c r="Y24" i="4" s="1"/>
  <c r="W34" i="4"/>
  <c r="Y34" i="4" s="1"/>
  <c r="X34" i="4"/>
  <c r="Z34" i="4" s="1"/>
  <c r="X20" i="4"/>
  <c r="Z20" i="4" s="1"/>
  <c r="W20" i="4"/>
  <c r="Y20" i="4" s="1"/>
  <c r="X39" i="4"/>
  <c r="Z39" i="4" s="1"/>
  <c r="W39" i="4"/>
  <c r="Y39" i="4" s="1"/>
  <c r="X29" i="4"/>
  <c r="Z29" i="4" s="1"/>
  <c r="W29" i="4"/>
  <c r="Y29" i="4" s="1"/>
  <c r="X37" i="4"/>
  <c r="Z37" i="4" s="1"/>
  <c r="W37" i="4"/>
  <c r="Y37" i="4" s="1"/>
  <c r="X21" i="4"/>
  <c r="Z21" i="4" s="1"/>
  <c r="W21" i="4"/>
  <c r="Y21" i="4" s="1"/>
  <c r="X25" i="4"/>
  <c r="Z25" i="4" s="1"/>
  <c r="W25" i="4"/>
  <c r="Y25" i="4" s="1"/>
  <c r="X35" i="4"/>
  <c r="Z35" i="4" s="1"/>
  <c r="W35" i="4"/>
  <c r="Y35" i="4" s="1"/>
  <c r="X27" i="4"/>
  <c r="Z27" i="4" s="1"/>
  <c r="W27" i="4"/>
  <c r="Y27" i="4" s="1"/>
  <c r="G38" i="1"/>
  <c r="G20" i="1"/>
  <c r="G26" i="1"/>
  <c r="G19" i="1"/>
  <c r="G27" i="1"/>
  <c r="G34" i="1"/>
  <c r="F35" i="1"/>
  <c r="F27" i="1"/>
  <c r="F19" i="1"/>
  <c r="F38" i="1"/>
  <c r="F30" i="1"/>
  <c r="F22" i="1"/>
  <c r="F36" i="1"/>
  <c r="F33" i="1"/>
  <c r="F25" i="1"/>
  <c r="F28" i="1"/>
  <c r="F20" i="1"/>
  <c r="F39" i="1"/>
  <c r="F32" i="1"/>
  <c r="F24" i="1"/>
  <c r="F34" i="1"/>
  <c r="F26" i="1"/>
  <c r="F31" i="1"/>
  <c r="F37" i="1"/>
  <c r="F29" i="1"/>
  <c r="F21" i="1"/>
  <c r="F23" i="1"/>
  <c r="G18" i="1"/>
  <c r="G32" i="1"/>
  <c r="G33" i="1"/>
  <c r="G36" i="1"/>
  <c r="G21" i="1"/>
  <c r="G39" i="1"/>
  <c r="G22" i="1"/>
  <c r="G28" i="1"/>
  <c r="G24" i="1"/>
  <c r="G29" i="1"/>
  <c r="G31" i="1"/>
  <c r="G30" i="1"/>
  <c r="G35" i="1"/>
  <c r="G23" i="1"/>
  <c r="G37" i="1"/>
  <c r="G25" i="1"/>
  <c r="T23" i="1" l="1"/>
  <c r="M23" i="1"/>
  <c r="M24" i="1"/>
  <c r="T24" i="1"/>
  <c r="T36" i="1"/>
  <c r="M36" i="1"/>
  <c r="M30" i="1"/>
  <c r="T30" i="1"/>
  <c r="M18" i="1"/>
  <c r="T28" i="1"/>
  <c r="M28" i="1"/>
  <c r="M19" i="1"/>
  <c r="T19" i="1"/>
  <c r="M32" i="1"/>
  <c r="T32" i="1"/>
  <c r="M29" i="1"/>
  <c r="T29" i="1"/>
  <c r="M37" i="1"/>
  <c r="T37" i="1"/>
  <c r="T31" i="1"/>
  <c r="M31" i="1"/>
  <c r="M38" i="1"/>
  <c r="T38" i="1"/>
  <c r="T26" i="1"/>
  <c r="M26" i="1"/>
  <c r="T25" i="1"/>
  <c r="M25" i="1"/>
  <c r="M27" i="1"/>
  <c r="T27" i="1"/>
  <c r="M21" i="1"/>
  <c r="T21" i="1"/>
  <c r="M22" i="1"/>
  <c r="T22" i="1"/>
  <c r="T39" i="1"/>
  <c r="M39" i="1"/>
  <c r="T20" i="1"/>
  <c r="M20" i="1"/>
  <c r="T34" i="1"/>
  <c r="M34" i="1"/>
  <c r="T33" i="1"/>
  <c r="M33" i="1"/>
  <c r="M35" i="1"/>
  <c r="T35" i="1"/>
  <c r="U39" i="1" l="1"/>
  <c r="N39" i="1"/>
  <c r="O39" i="1" s="1"/>
  <c r="N25" i="1"/>
  <c r="O25" i="1" s="1"/>
  <c r="U25" i="1"/>
  <c r="U28" i="1"/>
  <c r="N28" i="1"/>
  <c r="O28" i="1" s="1"/>
  <c r="U36" i="1"/>
  <c r="N36" i="1"/>
  <c r="O36" i="1" s="1"/>
  <c r="N35" i="1"/>
  <c r="O35" i="1" s="1"/>
  <c r="U35" i="1"/>
  <c r="N22" i="1"/>
  <c r="O22" i="1" s="1"/>
  <c r="U22" i="1"/>
  <c r="U34" i="1"/>
  <c r="N34" i="1"/>
  <c r="O34" i="1" s="1"/>
  <c r="U21" i="1"/>
  <c r="N21" i="1"/>
  <c r="O21" i="1" s="1"/>
  <c r="N38" i="1"/>
  <c r="O38" i="1" s="1"/>
  <c r="U38" i="1"/>
  <c r="N32" i="1"/>
  <c r="O32" i="1" s="1"/>
  <c r="U32" i="1"/>
  <c r="N30" i="1"/>
  <c r="O30" i="1" s="1"/>
  <c r="U30" i="1"/>
  <c r="N24" i="1"/>
  <c r="O24" i="1" s="1"/>
  <c r="U24" i="1"/>
  <c r="N33" i="1"/>
  <c r="O33" i="1" s="1"/>
  <c r="U33" i="1"/>
  <c r="U18" i="1"/>
  <c r="N18" i="1"/>
  <c r="O18" i="1" s="1"/>
  <c r="U29" i="1"/>
  <c r="N29" i="1"/>
  <c r="O29" i="1" s="1"/>
  <c r="U20" i="1"/>
  <c r="N20" i="1"/>
  <c r="O20" i="1" s="1"/>
  <c r="U31" i="1"/>
  <c r="N31" i="1"/>
  <c r="O31" i="1" s="1"/>
  <c r="U23" i="1"/>
  <c r="N23" i="1"/>
  <c r="O23" i="1" s="1"/>
  <c r="U37" i="1"/>
  <c r="N37" i="1"/>
  <c r="O37" i="1" s="1"/>
  <c r="U26" i="1"/>
  <c r="N26" i="1"/>
  <c r="O26" i="1" s="1"/>
  <c r="N27" i="1"/>
  <c r="O27" i="1" s="1"/>
  <c r="U27" i="1"/>
  <c r="N19" i="1"/>
  <c r="O19" i="1" s="1"/>
  <c r="U19" i="1"/>
  <c r="V26" i="1" l="1"/>
  <c r="P26" i="1"/>
  <c r="S26" i="1" s="1"/>
  <c r="P20" i="1"/>
  <c r="S20" i="1" s="1"/>
  <c r="V20" i="1"/>
  <c r="V21" i="1"/>
  <c r="P21" i="1"/>
  <c r="S21" i="1" s="1"/>
  <c r="P36" i="1"/>
  <c r="S36" i="1" s="1"/>
  <c r="V36" i="1"/>
  <c r="V24" i="1"/>
  <c r="P24" i="1"/>
  <c r="S24" i="1" s="1"/>
  <c r="V29" i="1"/>
  <c r="P29" i="1"/>
  <c r="S29" i="1" s="1"/>
  <c r="V19" i="1"/>
  <c r="P19" i="1"/>
  <c r="S19" i="1" s="1"/>
  <c r="P30" i="1"/>
  <c r="S30" i="1" s="1"/>
  <c r="V30" i="1"/>
  <c r="V27" i="1"/>
  <c r="P27" i="1"/>
  <c r="S27" i="1" s="1"/>
  <c r="V32" i="1"/>
  <c r="P32" i="1"/>
  <c r="S32" i="1" s="1"/>
  <c r="P22" i="1"/>
  <c r="S22" i="1" s="1"/>
  <c r="V22" i="1"/>
  <c r="P25" i="1"/>
  <c r="S25" i="1" s="1"/>
  <c r="V25" i="1"/>
  <c r="V34" i="1"/>
  <c r="P34" i="1"/>
  <c r="S34" i="1" s="1"/>
  <c r="V18" i="1"/>
  <c r="P18" i="1"/>
  <c r="S18" i="1" s="1"/>
  <c r="P31" i="1"/>
  <c r="S31" i="1" s="1"/>
  <c r="V31" i="1"/>
  <c r="P39" i="1"/>
  <c r="S39" i="1" s="1"/>
  <c r="V39" i="1"/>
  <c r="V37" i="1"/>
  <c r="P37" i="1"/>
  <c r="S37" i="1" s="1"/>
  <c r="P28" i="1"/>
  <c r="S28" i="1" s="1"/>
  <c r="V28" i="1"/>
  <c r="P23" i="1"/>
  <c r="S23" i="1" s="1"/>
  <c r="V23" i="1"/>
  <c r="P33" i="1"/>
  <c r="S33" i="1" s="1"/>
  <c r="V33" i="1"/>
  <c r="P38" i="1"/>
  <c r="S38" i="1" s="1"/>
  <c r="V38" i="1"/>
  <c r="V35" i="1"/>
  <c r="P35" i="1"/>
  <c r="S35" i="1" s="1"/>
  <c r="X23" i="1" l="1"/>
  <c r="Z23" i="1" s="1"/>
  <c r="W23" i="1"/>
  <c r="Y23" i="1" s="1"/>
  <c r="X31" i="1"/>
  <c r="Z31" i="1" s="1"/>
  <c r="W31" i="1"/>
  <c r="Y31" i="1" s="1"/>
  <c r="W22" i="1"/>
  <c r="Y22" i="1" s="1"/>
  <c r="X22" i="1"/>
  <c r="Z22" i="1" s="1"/>
  <c r="W21" i="1"/>
  <c r="Y21" i="1" s="1"/>
  <c r="X21" i="1"/>
  <c r="Z21" i="1" s="1"/>
  <c r="W38" i="1"/>
  <c r="Y38" i="1" s="1"/>
  <c r="X38" i="1"/>
  <c r="Z38" i="1" s="1"/>
  <c r="W32" i="1"/>
  <c r="Y32" i="1" s="1"/>
  <c r="X32" i="1"/>
  <c r="Z32" i="1" s="1"/>
  <c r="W37" i="1"/>
  <c r="Y37" i="1" s="1"/>
  <c r="X37" i="1"/>
  <c r="Z37" i="1" s="1"/>
  <c r="W34" i="1"/>
  <c r="Y34" i="1" s="1"/>
  <c r="X34" i="1"/>
  <c r="Z34" i="1" s="1"/>
  <c r="X27" i="1"/>
  <c r="Z27" i="1" s="1"/>
  <c r="W27" i="1"/>
  <c r="Y27" i="1" s="1"/>
  <c r="W24" i="1"/>
  <c r="Y24" i="1" s="1"/>
  <c r="X24" i="1"/>
  <c r="Z24" i="1" s="1"/>
  <c r="W26" i="1"/>
  <c r="Y26" i="1" s="1"/>
  <c r="X26" i="1"/>
  <c r="Z26" i="1" s="1"/>
  <c r="X19" i="1"/>
  <c r="Z19" i="1" s="1"/>
  <c r="W19" i="1"/>
  <c r="Y19" i="1" s="1"/>
  <c r="X28" i="1"/>
  <c r="Z28" i="1" s="1"/>
  <c r="W28" i="1"/>
  <c r="Y28" i="1" s="1"/>
  <c r="X39" i="1"/>
  <c r="Z39" i="1" s="1"/>
  <c r="W39" i="1"/>
  <c r="Y39" i="1" s="1"/>
  <c r="X25" i="1"/>
  <c r="Z25" i="1" s="1"/>
  <c r="W25" i="1"/>
  <c r="Y25" i="1" s="1"/>
  <c r="W30" i="1"/>
  <c r="Y30" i="1" s="1"/>
  <c r="X30" i="1"/>
  <c r="Z30" i="1" s="1"/>
  <c r="X36" i="1"/>
  <c r="Z36" i="1" s="1"/>
  <c r="W36" i="1"/>
  <c r="Y36" i="1" s="1"/>
  <c r="X35" i="1"/>
  <c r="Z35" i="1" s="1"/>
  <c r="W35" i="1"/>
  <c r="Y35" i="1" s="1"/>
  <c r="X20" i="1"/>
  <c r="Z20" i="1" s="1"/>
  <c r="W20" i="1"/>
  <c r="Y20" i="1" s="1"/>
  <c r="W18" i="1"/>
  <c r="Y18" i="1" s="1"/>
  <c r="X18" i="1"/>
  <c r="Z18" i="1" s="1"/>
  <c r="W29" i="1"/>
  <c r="Y29" i="1" s="1"/>
  <c r="X29" i="1"/>
  <c r="Z29" i="1" s="1"/>
  <c r="X33" i="1"/>
  <c r="Z33" i="1" s="1"/>
  <c r="W33" i="1"/>
  <c r="Y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tc={9FA24B3D-AB60-4A61-A19C-9B200C4EB614}</author>
    <author>tc={0E405BD9-24C3-43ED-BC3E-55956888FA29}</author>
  </authors>
  <commentList>
    <comment ref="C18" authorId="0" shapeId="0" xr:uid="{9FA24B3D-AB60-4A61-A19C-9B200C4EB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5 ml</t>
      </text>
    </comment>
    <comment ref="O18" authorId="1" shapeId="0" xr:uid="{0E405BD9-24C3-43ED-BC3E-55956888FA2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usually be more than 2 to be safe</t>
      </text>
    </comment>
  </commentList>
</comments>
</file>

<file path=xl/sharedStrings.xml><?xml version="1.0" encoding="utf-8"?>
<sst xmlns="http://schemas.openxmlformats.org/spreadsheetml/2006/main" count="234" uniqueCount="122">
  <si>
    <t>No.</t>
  </si>
  <si>
    <t>Name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</si>
  <si>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</si>
  <si>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</si>
  <si>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</si>
  <si>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</si>
  <si>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</si>
  <si>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</si>
  <si>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</si>
  <si>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</si>
  <si>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</si>
  <si>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</si>
  <si>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</si>
  <si>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</si>
  <si>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</si>
  <si>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</si>
  <si>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16/05/24 15:00</t>
  </si>
  <si>
    <t>16/05/24 15:01</t>
  </si>
  <si>
    <t>16/05/24 15:02</t>
  </si>
  <si>
    <t>16/05/24 15:03</t>
  </si>
  <si>
    <t>16/05/24 15:04</t>
  </si>
  <si>
    <t>Peat-1-10-60</t>
  </si>
  <si>
    <t>16/05/24 15:05</t>
  </si>
  <si>
    <t>Peat-2-10-60</t>
  </si>
  <si>
    <t>16/05/24 15:06</t>
  </si>
  <si>
    <t>Peat-3-10-60</t>
  </si>
  <si>
    <t>16/05/24 15:07</t>
  </si>
  <si>
    <t>Peat-4-10-60</t>
  </si>
  <si>
    <t>16/05/24 15:08</t>
  </si>
  <si>
    <t>Peat-5-10-60</t>
  </si>
  <si>
    <t>16/05/24 15:09</t>
  </si>
  <si>
    <t>TT-Blank-10</t>
  </si>
  <si>
    <t>16/05/24 15:10</t>
  </si>
  <si>
    <t>Peat-1-5-95</t>
  </si>
  <si>
    <t>16/05/24 15:11</t>
  </si>
  <si>
    <t>Peat-2-5-95</t>
  </si>
  <si>
    <t>16/05/24 15:12</t>
  </si>
  <si>
    <t>Peat-3-5-95</t>
  </si>
  <si>
    <t>16/05/24 15:13</t>
  </si>
  <si>
    <t>Peat-4-5-95</t>
  </si>
  <si>
    <t>16/05/24 15:14</t>
  </si>
  <si>
    <t>Peat-5-5-95</t>
  </si>
  <si>
    <t>16/05/24 15:15</t>
  </si>
  <si>
    <t>Peat-1-5-60</t>
  </si>
  <si>
    <t>16/05/24 15:16</t>
  </si>
  <si>
    <t>Peat-2-5-60</t>
  </si>
  <si>
    <t>16/05/24 15:17</t>
  </si>
  <si>
    <t>Peat-3-5-60</t>
  </si>
  <si>
    <t>16/05/24 15:18</t>
  </si>
  <si>
    <t>Peat-4-5-60</t>
  </si>
  <si>
    <t>16/05/24 15:19</t>
  </si>
  <si>
    <t>Peat-5-5-60</t>
  </si>
  <si>
    <t>16/05/24 15:20</t>
  </si>
  <si>
    <t>Peat-Blank-5</t>
  </si>
  <si>
    <t>16/05/24 15:21</t>
  </si>
  <si>
    <t>Sample</t>
  </si>
  <si>
    <t>Date:</t>
  </si>
  <si>
    <t xml:space="preserve">Escobar subset </t>
  </si>
  <si>
    <t>Time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</si>
  <si>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</si>
  <si>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</si>
  <si>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</si>
  <si>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</si>
  <si>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</si>
  <si>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</si>
  <si>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</si>
  <si>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</si>
  <si>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</si>
  <si>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</si>
  <si>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</si>
  <si>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</si>
  <si>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</si>
  <si>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Peat-1-10-95</t>
  </si>
  <si>
    <t>Peat-2-10-95</t>
  </si>
  <si>
    <t>Peat-3-10-95</t>
  </si>
  <si>
    <t>Peat-4-10-95</t>
  </si>
  <si>
    <t>Peat-5-10-95</t>
  </si>
  <si>
    <t>Peat2-10-60</t>
  </si>
  <si>
    <t> π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</si>
  <si>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</si>
  <si>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</si>
  <si>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</si>
  <si>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</si>
  <si>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</si>
  <si>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</si>
  <si>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</si>
  <si>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</si>
  <si>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</si>
  <si>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</si>
  <si>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</si>
  <si>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</si>
  <si>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</si>
  <si>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</si>
  <si>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 xml:space="preserve">Expected CO2 </t>
  </si>
  <si>
    <t>5d</t>
  </si>
  <si>
    <t>20d</t>
  </si>
  <si>
    <t>Sample site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</si>
  <si>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</si>
  <si>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</si>
  <si>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</si>
  <si>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time</t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</si>
  <si>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</si>
  <si>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</si>
  <si>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</si>
  <si>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</si>
  <si>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</si>
  <si>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</si>
  <si>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</si>
  <si>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</si>
  <si>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</si>
  <si>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</si>
  <si>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C production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</si>
  <si>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</si>
  <si>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</si>
  <si>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</si>
  <si>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</si>
  <si>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</si>
  <si>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</si>
  <si>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</si>
  <si>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</si>
  <si>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</si>
  <si>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mg/h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</si>
</sst>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h:mm;@"/>
    <numFmt numFmtId="168" formatCode="0.0"/>
    <numFmt numFmtId="169" formatCode="[$-F800]dddd\,\ mmmm\ dd\,\ yyyy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8" fillId="0" borderId="0" xfId="1" applyFont="1"/>
    <xf numFmtId="166" fontId="4" fillId="0" borderId="0" xfId="1" applyNumberFormat="1" applyFont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6" fontId="2" fillId="0" borderId="0" xfId="1" applyNumberFormat="1" applyAlignment="1">
      <alignment horizontal="right"/>
    </xf>
    <xf numFmtId="0" fontId="10" fillId="0" borderId="0" xfId="1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1" xfId="1" applyFont="1" applyBorder="1" applyAlignment="1">
      <alignment horizontal="center"/>
    </xf>
    <xf numFmtId="0" fontId="0" fillId="0" borderId="0" xfId="0" applyAlignment="1">
      <alignment horizontal="left"/>
    </xf>
    <xf numFmtId="22" fontId="4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22" fontId="4" fillId="0" borderId="11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2" fontId="4" fillId="6" borderId="0" xfId="1" applyNumberFormat="1" applyFont="1" applyFill="1" applyAlignment="1">
      <alignment horizontal="center"/>
    </xf>
    <xf numFmtId="2" fontId="4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4" fillId="7" borderId="0" xfId="1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2" fontId="3" fillId="3" borderId="0" xfId="1" applyNumberFormat="1" applyFont="1" applyFill="1" applyAlignment="1">
      <alignment horizontal="center"/>
    </xf>
    <xf numFmtId="1" fontId="3" fillId="3" borderId="12" xfId="1" applyNumberFormat="1" applyFont="1" applyFill="1" applyBorder="1" applyAlignment="1">
      <alignment horizontal="center"/>
    </xf>
    <xf numFmtId="2" fontId="3" fillId="8" borderId="0" xfId="1" applyNumberFormat="1" applyFont="1" applyFill="1" applyAlignment="1">
      <alignment horizontal="center"/>
    </xf>
    <xf numFmtId="2" fontId="3" fillId="8" borderId="12" xfId="1" applyNumberFormat="1" applyFont="1" applyFill="1" applyBorder="1" applyAlignment="1">
      <alignment horizontal="center"/>
    </xf>
    <xf numFmtId="0" fontId="3" fillId="6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4" fillId="8" borderId="8" xfId="1" applyFont="1" applyFill="1" applyBorder="1" applyAlignment="1">
      <alignment horizontal="center"/>
    </xf>
    <xf numFmtId="0" fontId="4" fillId="8" borderId="13" xfId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" fontId="4" fillId="0" borderId="12" xfId="1" applyNumberFormat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49" fontId="0" fillId="0" borderId="0" xfId="0" applyNumberFormat="1"/>
    <xf numFmtId="0" fontId="1" fillId="0" borderId="0" xfId="0" applyFont="1"/>
    <xf numFmtId="0" fontId="14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justify" vertical="center" wrapText="1"/>
    </xf>
    <xf numFmtId="0" fontId="15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/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justify" vertical="center" wrapText="1"/>
    </xf>
    <xf numFmtId="0" fontId="15" fillId="0" borderId="14" xfId="0" applyFont="1" applyBorder="1" applyAlignment="1">
      <alignment vertical="center" wrapText="1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13" fillId="0" borderId="14" xfId="0" applyFont="1" applyBorder="1" applyAlignment="1">
      <alignment horizontal="right" vertical="center" wrapText="1"/>
    </xf>
    <xf numFmtId="0" fontId="13" fillId="9" borderId="0" xfId="0" applyFont="1" applyFill="1" applyAlignment="1">
      <alignment horizontal="center"/>
    </xf>
    <xf numFmtId="0" fontId="13" fillId="9" borderId="14" xfId="0" applyFont="1" applyFill="1" applyBorder="1" applyAlignment="1">
      <alignment horizontal="center"/>
    </xf>
    <xf numFmtId="49" fontId="4" fillId="0" borderId="11" xfId="1" applyNumberFormat="1" applyFont="1" applyBorder="1" applyAlignment="1">
      <alignment horizontal="center"/>
    </xf>
    <xf numFmtId="2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167" fontId="16" fillId="0" borderId="0" xfId="1" applyNumberFormat="1" applyFont="1" applyAlignment="1">
      <alignment horizontal="center"/>
    </xf>
    <xf numFmtId="22" fontId="17" fillId="0" borderId="0" xfId="1" applyNumberFormat="1" applyFont="1" applyAlignment="1">
      <alignment horizontal="center"/>
    </xf>
    <xf numFmtId="14" fontId="16" fillId="0" borderId="0" xfId="1" applyNumberFormat="1" applyFont="1" applyAlignment="1">
      <alignment horizontal="center"/>
    </xf>
    <xf numFmtId="22" fontId="16" fillId="0" borderId="0" xfId="1" applyNumberFormat="1" applyFont="1" applyAlignment="1">
      <alignment horizontal="center"/>
    </xf>
    <xf numFmtId="2" fontId="2" fillId="0" borderId="0" xfId="1" applyNumberFormat="1"/>
    <xf numFmtId="164" fontId="2" fillId="0" borderId="0" xfId="1" applyNumberFormat="1"/>
    <xf numFmtId="164" fontId="3" fillId="4" borderId="1" xfId="1" applyNumberFormat="1" applyFont="1" applyFill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64" fontId="0" fillId="0" borderId="0" xfId="0" applyNumberFormat="1"/>
    <xf numFmtId="2" fontId="16" fillId="9" borderId="0" xfId="1" applyNumberFormat="1" applyFont="1" applyFill="1" applyAlignment="1">
      <alignment horizontal="center"/>
    </xf>
    <xf numFmtId="0" fontId="16" fillId="9" borderId="0" xfId="1" applyFont="1" applyFill="1" applyAlignment="1">
      <alignment horizontal="center"/>
    </xf>
    <xf numFmtId="0" fontId="4" fillId="10" borderId="0" xfId="1" applyFont="1" applyFill="1" applyAlignment="1">
      <alignment horizontal="center"/>
    </xf>
    <xf numFmtId="14" fontId="16" fillId="11" borderId="0" xfId="1" applyNumberFormat="1" applyFont="1" applyFill="1" applyAlignment="1">
      <alignment horizontal="center"/>
    </xf>
    <xf numFmtId="167" fontId="16" fillId="10" borderId="0" xfId="1" applyNumberFormat="1" applyFont="1" applyFill="1" applyAlignment="1">
      <alignment horizontal="center"/>
    </xf>
    <xf numFmtId="22" fontId="17" fillId="10" borderId="0" xfId="1" applyNumberFormat="1" applyFont="1" applyFill="1" applyAlignment="1">
      <alignment horizontal="center"/>
    </xf>
    <xf numFmtId="169" fontId="17" fillId="10" borderId="0" xfId="1" applyNumberFormat="1" applyFont="1" applyFill="1" applyAlignment="1">
      <alignment horizontal="center"/>
    </xf>
    <xf numFmtId="169" fontId="4" fillId="0" borderId="11" xfId="1" applyNumberFormat="1" applyFont="1" applyBorder="1" applyAlignment="1">
      <alignment horizontal="center"/>
    </xf>
    <xf numFmtId="1" fontId="4" fillId="10" borderId="0" xfId="1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Standard 3" xfId="1" xr:uid="{CAF830E5-AA6D-9B4B-BA06-B9D946E31577}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'16.02.2022 (set 3)'!$D$3:$D$14</c:f>
              <c:numCache>
                <c:formatCode>0.00</c:formatCode>
                <c:ptCount val="12"/>
                <c:pt idx="0">
                  <c:v>1739</c:v>
                </c:pt>
                <c:pt idx="1">
                  <c:v>1598.2</c:v>
                </c:pt>
                <c:pt idx="2">
                  <c:v>1489.3</c:v>
                </c:pt>
                <c:pt idx="3">
                  <c:v>1365.8</c:v>
                </c:pt>
                <c:pt idx="4">
                  <c:v>1190.5</c:v>
                </c:pt>
                <c:pt idx="5">
                  <c:v>1030.9000000000001</c:v>
                </c:pt>
                <c:pt idx="6">
                  <c:v>834.86</c:v>
                </c:pt>
                <c:pt idx="7">
                  <c:v>637.32000000000005</c:v>
                </c:pt>
                <c:pt idx="8">
                  <c:v>416.93</c:v>
                </c:pt>
                <c:pt idx="9" formatCode="General">
                  <c:v>176.58</c:v>
                </c:pt>
                <c:pt idx="10" formatCode="General">
                  <c:v>88.82</c:v>
                </c:pt>
                <c:pt idx="11" formatCode="General">
                  <c:v>36.93</c:v>
                </c:pt>
              </c:numCache>
            </c:numRef>
          </c:xVal>
          <c:yVal>
            <c:numRef>
              <c:f>'16.02.2022 (set 3)'!$F$3:$F$14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C-154D-BF50-312C16DF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1968"/>
        <c:axId val="95015424"/>
      </c:scatterChart>
      <c:valAx>
        <c:axId val="950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015424"/>
        <c:crosses val="autoZero"/>
        <c:crossBetween val="midCat"/>
      </c:valAx>
      <c:valAx>
        <c:axId val="950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0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'16.02.2022 (set 3)'!$E$3:$E$14</c:f>
              <c:numCache>
                <c:formatCode>0.00</c:formatCode>
                <c:ptCount val="12"/>
                <c:pt idx="0">
                  <c:v>354</c:v>
                </c:pt>
                <c:pt idx="1">
                  <c:v>320.8</c:v>
                </c:pt>
                <c:pt idx="2">
                  <c:v>290.2</c:v>
                </c:pt>
                <c:pt idx="3">
                  <c:v>268.60000000000002</c:v>
                </c:pt>
                <c:pt idx="4">
                  <c:v>235.9</c:v>
                </c:pt>
                <c:pt idx="5">
                  <c:v>214.06</c:v>
                </c:pt>
                <c:pt idx="6">
                  <c:v>184.05</c:v>
                </c:pt>
                <c:pt idx="7">
                  <c:v>143.41</c:v>
                </c:pt>
                <c:pt idx="8">
                  <c:v>86.84</c:v>
                </c:pt>
                <c:pt idx="9" formatCode="General">
                  <c:v>43.04</c:v>
                </c:pt>
                <c:pt idx="10" formatCode="General">
                  <c:v>22.8</c:v>
                </c:pt>
                <c:pt idx="11" formatCode="General">
                  <c:v>10.61</c:v>
                </c:pt>
              </c:numCache>
            </c:numRef>
          </c:xVal>
          <c:yVal>
            <c:numRef>
              <c:f>'16.02.2022 (set 3)'!$F$3:$F$14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8-0543-9BC5-888F9310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8816"/>
        <c:axId val="102179392"/>
      </c:scatterChart>
      <c:valAx>
        <c:axId val="102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79392"/>
        <c:crosses val="autoZero"/>
        <c:crossBetween val="midCat"/>
      </c:valAx>
      <c:valAx>
        <c:axId val="10217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7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'24.02.2022 (set 4) '!$D$3:$D$14</c:f>
              <c:numCache>
                <c:formatCode>0.00</c:formatCode>
                <c:ptCount val="12"/>
                <c:pt idx="0">
                  <c:v>1776.3</c:v>
                </c:pt>
                <c:pt idx="1">
                  <c:v>1534.2</c:v>
                </c:pt>
                <c:pt idx="2">
                  <c:v>1416.1</c:v>
                </c:pt>
                <c:pt idx="3">
                  <c:v>1271.3</c:v>
                </c:pt>
                <c:pt idx="4">
                  <c:v>1200.7</c:v>
                </c:pt>
                <c:pt idx="5">
                  <c:v>935.6</c:v>
                </c:pt>
                <c:pt idx="6">
                  <c:v>808.59</c:v>
                </c:pt>
                <c:pt idx="7">
                  <c:v>601.08000000000004</c:v>
                </c:pt>
                <c:pt idx="8">
                  <c:v>355.01</c:v>
                </c:pt>
                <c:pt idx="9" formatCode="General">
                  <c:v>160.9</c:v>
                </c:pt>
                <c:pt idx="10" formatCode="General">
                  <c:v>87.15</c:v>
                </c:pt>
                <c:pt idx="11" formatCode="General">
                  <c:v>19.329999999999998</c:v>
                </c:pt>
              </c:numCache>
            </c:numRef>
          </c:xVal>
          <c:yVal>
            <c:numRef>
              <c:f>'24.02.2022 (set 4) 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B-5749-A0B5-1F25D8A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1968"/>
        <c:axId val="95015424"/>
      </c:scatterChart>
      <c:valAx>
        <c:axId val="950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015424"/>
        <c:crosses val="autoZero"/>
        <c:crossBetween val="midCat"/>
      </c:valAx>
      <c:valAx>
        <c:axId val="950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0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'24.02.2022 (set 4) '!$E$3:$E$14</c:f>
              <c:numCache>
                <c:formatCode>0.00</c:formatCode>
                <c:ptCount val="12"/>
                <c:pt idx="0">
                  <c:v>317.2</c:v>
                </c:pt>
                <c:pt idx="1">
                  <c:v>318.8</c:v>
                </c:pt>
                <c:pt idx="2">
                  <c:v>287.01</c:v>
                </c:pt>
                <c:pt idx="3">
                  <c:v>274.37</c:v>
                </c:pt>
                <c:pt idx="4">
                  <c:v>243.41</c:v>
                </c:pt>
                <c:pt idx="5">
                  <c:v>225.06</c:v>
                </c:pt>
                <c:pt idx="6">
                  <c:v>184.79</c:v>
                </c:pt>
                <c:pt idx="7">
                  <c:v>138.61000000000001</c:v>
                </c:pt>
                <c:pt idx="8">
                  <c:v>75.760000000000005</c:v>
                </c:pt>
                <c:pt idx="9" formatCode="General">
                  <c:v>43.95</c:v>
                </c:pt>
                <c:pt idx="10" formatCode="General">
                  <c:v>19.93</c:v>
                </c:pt>
                <c:pt idx="11" formatCode="General">
                  <c:v>6.77</c:v>
                </c:pt>
              </c:numCache>
            </c:numRef>
          </c:xVal>
          <c:yVal>
            <c:numRef>
              <c:f>'24.02.2022 (set 4) 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B-6C47-9E57-1C97BA25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8816"/>
        <c:axId val="102179392"/>
      </c:scatterChart>
      <c:valAx>
        <c:axId val="102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79392"/>
        <c:crosses val="autoZero"/>
        <c:crossBetween val="midCat"/>
      </c:valAx>
      <c:valAx>
        <c:axId val="10217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7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CD1828-7181-C84D-9B21-75CBB9FD8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663C7D-0986-3E43-93A6-28374270D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FF9795-75B7-414E-95B3-C00D7F93E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68CAC24-88E8-8E4E-A8C4-E48A200E9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GP/projects/14Constraint/Labwork/Carlos%20Sierra/Andre&#769;s%20Tangarife%20Escobar/Test_incub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_atanga/Documents/Original/LAB/1.%20Incubation%20grassland/C14/Escobar_Incubation_set_2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r_Informat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el, T, Mej [19779437@sun.ac.za]" id="{01CC0312-D7CF-4A36-9354-82AF053C2F6D}" userId="S::19779437@sun.ac.za::4888106e-19e5-4766-b44f-7001778a61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4-05-21T14:24:09.84" personId="{01CC0312-D7CF-4A36-9354-82AF053C2F6D}" id="{9FA24B3D-AB60-4A61-A19C-9B200C4EB614}">
    <text>Test 5 ml</text>
  </threadedComment>
  <threadedComment ref="O18" dT="2024-05-21T14:23:35.19" personId="{01CC0312-D7CF-4A36-9354-82AF053C2F6D}" id="{0E405BD9-24C3-43ED-BC3E-55956888FA29}">
    <text>Should usually be more than 2 to be safe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E050-83F0-8A4C-95DE-0419D5F5A672}">
  <dimension ref="A1:N29"/>
  <sheetViews>
    <sheetView zoomScale="110" zoomScaleNormal="110" workbookViewId="0">
      <selection activeCell="M3" sqref="M3:M24"/>
    </sheetView>
  </sheetViews>
  <sheetFormatPr defaultColWidth="11.5703125" defaultRowHeight="14.45"/>
  <cols>
    <col min="2" max="2" width="12.7109375" bestFit="1" customWidth="1"/>
    <col min="13" max="13" width="20.7109375" bestFit="1" customWidth="1"/>
  </cols>
  <sheetData>
    <row r="1" spans="1:14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3" t="s">
        <v>7</v>
      </c>
      <c r="I1" s="44" t="s">
        <v>8</v>
      </c>
      <c r="J1" s="44" t="s">
        <v>9</v>
      </c>
      <c r="K1" s="44" t="s">
        <v>10</v>
      </c>
      <c r="L1" s="45" t="s">
        <v>11</v>
      </c>
      <c r="M1" s="46" t="s">
        <v>12</v>
      </c>
      <c r="N1" s="44" t="s">
        <v>13</v>
      </c>
    </row>
    <row r="2" spans="1:14" ht="15" thickBot="1">
      <c r="A2" s="47"/>
      <c r="B2" s="47"/>
      <c r="C2" s="47"/>
      <c r="D2" s="47" t="s">
        <v>14</v>
      </c>
      <c r="E2" s="47" t="s">
        <v>14</v>
      </c>
      <c r="F2" s="47" t="s">
        <v>14</v>
      </c>
      <c r="G2" s="47" t="s">
        <v>15</v>
      </c>
      <c r="H2" s="48" t="s">
        <v>15</v>
      </c>
      <c r="I2" s="49" t="s">
        <v>14</v>
      </c>
      <c r="J2" s="49" t="s">
        <v>14</v>
      </c>
      <c r="K2" s="49" t="s">
        <v>15</v>
      </c>
      <c r="L2" s="50" t="s">
        <v>15</v>
      </c>
      <c r="M2" s="19"/>
    </row>
    <row r="3" spans="1:14">
      <c r="A3">
        <v>1</v>
      </c>
      <c r="B3" s="16">
        <v>1</v>
      </c>
      <c r="C3" s="51"/>
      <c r="G3" s="6"/>
      <c r="H3" s="52">
        <v>586.6</v>
      </c>
      <c r="I3" s="3"/>
      <c r="J3" s="3"/>
      <c r="K3" s="3"/>
      <c r="L3" s="53"/>
      <c r="M3" s="54" t="s">
        <v>16</v>
      </c>
    </row>
    <row r="4" spans="1:14">
      <c r="A4">
        <v>2</v>
      </c>
      <c r="B4" s="16">
        <v>2</v>
      </c>
      <c r="C4" s="51"/>
      <c r="G4" s="6"/>
      <c r="H4" s="52">
        <v>586.6</v>
      </c>
      <c r="I4" s="3"/>
      <c r="J4" s="3"/>
      <c r="K4" s="3"/>
      <c r="L4" s="53"/>
      <c r="M4" s="54" t="s">
        <v>17</v>
      </c>
      <c r="N4" s="28"/>
    </row>
    <row r="5" spans="1:14">
      <c r="A5">
        <v>3</v>
      </c>
      <c r="B5" s="16">
        <v>3</v>
      </c>
      <c r="C5" s="51"/>
      <c r="G5" s="6"/>
      <c r="H5" s="52">
        <v>586.6</v>
      </c>
      <c r="I5" s="3"/>
      <c r="J5" s="3"/>
      <c r="K5" s="3"/>
      <c r="L5" s="53"/>
      <c r="M5" s="54" t="s">
        <v>18</v>
      </c>
      <c r="N5" s="28"/>
    </row>
    <row r="6" spans="1:14">
      <c r="A6">
        <v>4</v>
      </c>
      <c r="B6" s="16">
        <v>4</v>
      </c>
      <c r="C6" s="51"/>
      <c r="G6" s="6"/>
      <c r="H6" s="52">
        <v>586.6</v>
      </c>
      <c r="I6" s="3"/>
      <c r="J6" s="3"/>
      <c r="K6" s="3"/>
      <c r="L6" s="53"/>
      <c r="M6" s="54" t="s">
        <v>19</v>
      </c>
      <c r="N6" s="28"/>
    </row>
    <row r="7" spans="1:14">
      <c r="A7">
        <v>5</v>
      </c>
      <c r="B7" s="16">
        <v>5</v>
      </c>
      <c r="C7" s="51"/>
      <c r="G7" s="6"/>
      <c r="H7" s="52">
        <v>586.6</v>
      </c>
      <c r="I7" s="3"/>
      <c r="J7" s="3"/>
      <c r="K7" s="3"/>
      <c r="L7" s="53"/>
      <c r="M7" s="54" t="s">
        <v>20</v>
      </c>
      <c r="N7" s="28"/>
    </row>
    <row r="8" spans="1:14">
      <c r="A8">
        <v>6</v>
      </c>
      <c r="B8" s="16" t="s">
        <v>21</v>
      </c>
      <c r="C8" s="51"/>
      <c r="G8" s="6"/>
      <c r="H8" s="52">
        <v>586.6</v>
      </c>
      <c r="I8" s="3"/>
      <c r="J8" s="3"/>
      <c r="K8" s="3"/>
      <c r="L8" s="53"/>
      <c r="M8" s="54" t="s">
        <v>22</v>
      </c>
      <c r="N8" s="28"/>
    </row>
    <row r="9" spans="1:14">
      <c r="A9">
        <v>7</v>
      </c>
      <c r="B9" s="16" t="s">
        <v>23</v>
      </c>
      <c r="C9" s="51"/>
      <c r="G9" s="6"/>
      <c r="H9" s="52">
        <v>586.6</v>
      </c>
      <c r="I9" s="3"/>
      <c r="J9" s="3"/>
      <c r="K9" s="3"/>
      <c r="L9" s="53"/>
      <c r="M9" s="54" t="s">
        <v>24</v>
      </c>
      <c r="N9" s="28"/>
    </row>
    <row r="10" spans="1:14">
      <c r="A10">
        <v>8</v>
      </c>
      <c r="B10" s="16" t="s">
        <v>25</v>
      </c>
      <c r="C10" s="51"/>
      <c r="G10" s="6"/>
      <c r="H10" s="52">
        <v>586.6</v>
      </c>
      <c r="I10" s="3"/>
      <c r="J10" s="3"/>
      <c r="K10" s="3"/>
      <c r="L10" s="53"/>
      <c r="M10" s="54" t="s">
        <v>26</v>
      </c>
      <c r="N10" s="28"/>
    </row>
    <row r="11" spans="1:14">
      <c r="A11">
        <v>9</v>
      </c>
      <c r="B11" s="16" t="s">
        <v>27</v>
      </c>
      <c r="H11" s="52">
        <v>586.6</v>
      </c>
      <c r="M11" s="54" t="s">
        <v>28</v>
      </c>
      <c r="N11" s="28"/>
    </row>
    <row r="12" spans="1:14">
      <c r="A12">
        <v>10</v>
      </c>
      <c r="B12" s="16" t="s">
        <v>29</v>
      </c>
      <c r="G12" s="6"/>
      <c r="H12" s="52">
        <v>586.6</v>
      </c>
      <c r="I12" s="3"/>
      <c r="J12" s="3"/>
      <c r="K12" s="3"/>
      <c r="L12" s="53"/>
      <c r="M12" s="54" t="s">
        <v>30</v>
      </c>
      <c r="N12" s="28"/>
    </row>
    <row r="13" spans="1:14">
      <c r="A13">
        <v>11</v>
      </c>
      <c r="B13" s="67" t="s">
        <v>31</v>
      </c>
      <c r="G13" s="6"/>
      <c r="H13" s="52">
        <v>586.6</v>
      </c>
      <c r="I13" s="3"/>
      <c r="J13" s="3"/>
      <c r="K13" s="3"/>
      <c r="L13" s="53"/>
      <c r="M13" s="54" t="s">
        <v>32</v>
      </c>
      <c r="N13" s="28"/>
    </row>
    <row r="14" spans="1:14">
      <c r="A14">
        <v>12</v>
      </c>
      <c r="B14" s="16" t="s">
        <v>33</v>
      </c>
      <c r="G14" s="6"/>
      <c r="H14" s="52">
        <v>586.6</v>
      </c>
      <c r="I14" s="3"/>
      <c r="J14" s="3"/>
      <c r="K14" s="3"/>
      <c r="L14" s="53"/>
      <c r="M14" s="54" t="s">
        <v>34</v>
      </c>
      <c r="N14" s="28"/>
    </row>
    <row r="15" spans="1:14">
      <c r="A15">
        <v>13</v>
      </c>
      <c r="B15" s="16" t="s">
        <v>35</v>
      </c>
      <c r="G15" s="6"/>
      <c r="H15" s="52">
        <v>586.6</v>
      </c>
      <c r="I15" s="3"/>
      <c r="J15" s="3"/>
      <c r="K15" s="3"/>
      <c r="L15" s="53"/>
      <c r="M15" s="54" t="s">
        <v>36</v>
      </c>
      <c r="N15" s="28"/>
    </row>
    <row r="16" spans="1:14">
      <c r="A16">
        <v>14</v>
      </c>
      <c r="B16" s="16" t="s">
        <v>37</v>
      </c>
      <c r="G16" s="6"/>
      <c r="H16" s="52">
        <v>586.6</v>
      </c>
      <c r="I16" s="3"/>
      <c r="J16" s="3"/>
      <c r="K16" s="3"/>
      <c r="L16" s="53"/>
      <c r="M16" s="54" t="s">
        <v>38</v>
      </c>
      <c r="N16" s="28"/>
    </row>
    <row r="17" spans="1:14">
      <c r="A17">
        <v>15</v>
      </c>
      <c r="B17" s="16" t="s">
        <v>39</v>
      </c>
      <c r="G17" s="6"/>
      <c r="H17" s="52">
        <v>586.6</v>
      </c>
      <c r="I17" s="3"/>
      <c r="J17" s="3"/>
      <c r="K17" s="3"/>
      <c r="L17" s="53"/>
      <c r="M17" s="54" t="s">
        <v>40</v>
      </c>
      <c r="N17" s="28"/>
    </row>
    <row r="18" spans="1:14">
      <c r="A18">
        <v>16</v>
      </c>
      <c r="B18" s="16" t="s">
        <v>41</v>
      </c>
      <c r="G18" s="6"/>
      <c r="H18" s="52">
        <v>586.6</v>
      </c>
      <c r="I18" s="3"/>
      <c r="J18" s="3"/>
      <c r="K18" s="3"/>
      <c r="L18" s="53"/>
      <c r="M18" s="54" t="s">
        <v>42</v>
      </c>
      <c r="N18" s="28"/>
    </row>
    <row r="19" spans="1:14">
      <c r="A19">
        <v>17</v>
      </c>
      <c r="B19" s="16" t="s">
        <v>43</v>
      </c>
      <c r="G19" s="6"/>
      <c r="H19" s="52">
        <v>586.6</v>
      </c>
      <c r="I19" s="3"/>
      <c r="J19" s="3"/>
      <c r="K19" s="3"/>
      <c r="L19" s="53"/>
      <c r="M19" s="54" t="s">
        <v>44</v>
      </c>
      <c r="N19" s="28"/>
    </row>
    <row r="20" spans="1:14">
      <c r="A20">
        <v>18</v>
      </c>
      <c r="B20" s="16" t="s">
        <v>45</v>
      </c>
      <c r="G20" s="6"/>
      <c r="H20" s="52">
        <v>586.6</v>
      </c>
      <c r="I20" s="3"/>
      <c r="J20" s="3"/>
      <c r="K20" s="3"/>
      <c r="L20" s="53"/>
      <c r="M20" s="54" t="s">
        <v>46</v>
      </c>
      <c r="N20" s="28"/>
    </row>
    <row r="21" spans="1:14">
      <c r="A21">
        <v>19</v>
      </c>
      <c r="B21" s="16" t="s">
        <v>47</v>
      </c>
      <c r="G21" s="6"/>
      <c r="H21" s="52">
        <v>586.6</v>
      </c>
      <c r="I21" s="3"/>
      <c r="J21" s="3"/>
      <c r="K21" s="3"/>
      <c r="L21" s="53"/>
      <c r="M21" s="54" t="s">
        <v>48</v>
      </c>
      <c r="N21" s="28"/>
    </row>
    <row r="22" spans="1:14">
      <c r="A22">
        <v>20</v>
      </c>
      <c r="B22" s="16" t="s">
        <v>49</v>
      </c>
      <c r="G22" s="6"/>
      <c r="H22" s="52">
        <v>586.6</v>
      </c>
      <c r="I22" s="3"/>
      <c r="J22" s="3"/>
      <c r="K22" s="3"/>
      <c r="L22" s="53"/>
      <c r="M22" s="54" t="s">
        <v>50</v>
      </c>
      <c r="N22" s="28"/>
    </row>
    <row r="23" spans="1:14">
      <c r="A23">
        <v>21</v>
      </c>
      <c r="B23" s="16" t="s">
        <v>51</v>
      </c>
      <c r="G23" s="6"/>
      <c r="H23" s="52">
        <v>586.6</v>
      </c>
      <c r="I23" s="3"/>
      <c r="J23" s="3"/>
      <c r="K23" s="3"/>
      <c r="L23" s="53"/>
      <c r="M23" s="54" t="s">
        <v>52</v>
      </c>
      <c r="N23" s="28"/>
    </row>
    <row r="24" spans="1:14">
      <c r="A24">
        <v>22</v>
      </c>
      <c r="B24" s="67" t="s">
        <v>53</v>
      </c>
      <c r="G24" s="6"/>
      <c r="H24" s="52">
        <v>586.6</v>
      </c>
      <c r="I24" s="3"/>
      <c r="J24" s="3"/>
      <c r="K24" s="3"/>
      <c r="L24" s="53"/>
      <c r="M24" s="54" t="s">
        <v>54</v>
      </c>
      <c r="N24" s="28"/>
    </row>
    <row r="25" spans="1:14">
      <c r="B25" s="16"/>
      <c r="G25" s="6"/>
      <c r="H25" s="52"/>
      <c r="I25" s="3"/>
      <c r="J25" s="3"/>
      <c r="K25" s="3"/>
      <c r="L25" s="53"/>
      <c r="M25" s="54"/>
      <c r="N25" s="28"/>
    </row>
    <row r="26" spans="1:14">
      <c r="B26" s="16"/>
      <c r="G26" s="6"/>
      <c r="H26" s="52"/>
      <c r="I26" s="3"/>
      <c r="J26" s="3"/>
      <c r="K26" s="3"/>
      <c r="L26" s="53"/>
      <c r="M26" s="54"/>
      <c r="N26" s="28"/>
    </row>
    <row r="27" spans="1:14">
      <c r="B27" s="27"/>
      <c r="G27" s="6"/>
      <c r="H27" s="52"/>
      <c r="I27" s="3"/>
      <c r="J27" s="3"/>
      <c r="K27" s="3"/>
      <c r="L27" s="53"/>
      <c r="M27" s="28"/>
      <c r="N27" s="28"/>
    </row>
    <row r="28" spans="1:14">
      <c r="A28">
        <v>9</v>
      </c>
      <c r="B28" s="27" t="s">
        <v>55</v>
      </c>
      <c r="C28" s="51" t="e">
        <f>[1]WHC!I28</f>
        <v>#REF!</v>
      </c>
      <c r="D28">
        <v>221</v>
      </c>
      <c r="F28">
        <v>993</v>
      </c>
      <c r="G28" s="6">
        <f>L28</f>
        <v>2038.7931034482758</v>
      </c>
      <c r="H28" s="52">
        <f>(((D28+J28)*G28)/(F28-(D28+J28)))</f>
        <v>583.64413971770591</v>
      </c>
      <c r="I28" s="3">
        <v>348</v>
      </c>
      <c r="J28" s="3"/>
      <c r="K28" s="3">
        <v>1100</v>
      </c>
      <c r="L28" s="53">
        <f>((K28*F28)/(I28+J28))-K28</f>
        <v>2038.7931034482758</v>
      </c>
      <c r="M28" s="28">
        <v>44362.708333333336</v>
      </c>
      <c r="N28" s="28"/>
    </row>
    <row r="29" spans="1:14">
      <c r="G29" s="6"/>
      <c r="H29" s="52"/>
      <c r="I29" s="3"/>
      <c r="J29" s="3"/>
      <c r="K29" s="3"/>
      <c r="L29" s="53"/>
      <c r="M29" s="28"/>
      <c r="N29" s="28"/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0E27-0EBE-8848-BFCF-7660F8042305}">
  <dimension ref="A1:J46"/>
  <sheetViews>
    <sheetView view="pageLayout" zoomScaleNormal="100" workbookViewId="0">
      <selection activeCell="D24" sqref="D24"/>
    </sheetView>
  </sheetViews>
  <sheetFormatPr defaultColWidth="11.5703125" defaultRowHeight="14.45"/>
  <cols>
    <col min="1" max="1" width="17.7109375" bestFit="1" customWidth="1"/>
    <col min="2" max="2" width="7" customWidth="1"/>
    <col min="3" max="3" width="8.28515625" customWidth="1"/>
  </cols>
  <sheetData>
    <row r="1" spans="1:8" ht="15.6">
      <c r="A1" s="55" t="s">
        <v>56</v>
      </c>
      <c r="B1" s="55"/>
    </row>
    <row r="2" spans="1:8" ht="46.9">
      <c r="A2" s="56" t="s">
        <v>57</v>
      </c>
      <c r="B2" s="57" t="s">
        <v>58</v>
      </c>
      <c r="C2" s="57" t="s">
        <v>59</v>
      </c>
      <c r="D2" s="58" t="s">
        <v>60</v>
      </c>
      <c r="E2" s="58" t="s">
        <v>61</v>
      </c>
      <c r="F2" s="57"/>
      <c r="G2" s="58"/>
      <c r="H2" s="59"/>
    </row>
    <row r="3" spans="1:8" ht="15.6">
      <c r="A3" s="57"/>
      <c r="B3" s="60"/>
      <c r="C3" s="61" t="s">
        <v>62</v>
      </c>
      <c r="D3" s="60"/>
      <c r="E3" s="60"/>
      <c r="F3" s="61"/>
      <c r="G3" s="60"/>
    </row>
    <row r="4" spans="1:8" ht="15.6">
      <c r="A4" s="57"/>
      <c r="B4" s="60"/>
      <c r="C4" s="61" t="s">
        <v>63</v>
      </c>
      <c r="D4" s="60"/>
      <c r="E4" s="60"/>
      <c r="F4" s="61"/>
      <c r="G4" s="60"/>
    </row>
    <row r="5" spans="1:8" ht="15.6">
      <c r="A5" s="57"/>
      <c r="B5" s="60"/>
      <c r="C5" s="61" t="s">
        <v>64</v>
      </c>
      <c r="D5" s="60"/>
      <c r="E5" s="60"/>
      <c r="F5" s="61"/>
      <c r="G5" s="60"/>
    </row>
    <row r="6" spans="1:8" ht="15.6">
      <c r="A6" s="57"/>
      <c r="B6" s="60"/>
      <c r="C6" s="61" t="s">
        <v>65</v>
      </c>
      <c r="D6" s="60"/>
      <c r="E6" s="60"/>
      <c r="F6" s="61"/>
      <c r="G6" s="60"/>
    </row>
    <row r="7" spans="1:8" ht="15.6">
      <c r="A7" s="57"/>
      <c r="B7" s="60"/>
      <c r="C7" s="61" t="s">
        <v>66</v>
      </c>
      <c r="D7" s="60"/>
      <c r="E7" s="60"/>
      <c r="F7" s="61"/>
      <c r="G7" s="60"/>
    </row>
    <row r="8" spans="1:8" ht="15.6">
      <c r="A8" s="57"/>
      <c r="B8" s="60"/>
      <c r="C8" s="61" t="s">
        <v>67</v>
      </c>
      <c r="D8" s="60"/>
      <c r="E8" s="60"/>
      <c r="F8" s="61"/>
      <c r="G8" s="60"/>
    </row>
    <row r="9" spans="1:8" ht="15.6">
      <c r="A9" s="57"/>
      <c r="B9" s="60"/>
      <c r="C9" s="61" t="s">
        <v>68</v>
      </c>
      <c r="D9" s="60"/>
      <c r="E9" s="60"/>
      <c r="F9" s="61"/>
      <c r="G9" s="60"/>
    </row>
    <row r="10" spans="1:8" ht="15.6">
      <c r="A10" s="57"/>
      <c r="B10" s="60"/>
      <c r="C10" s="61" t="s">
        <v>69</v>
      </c>
      <c r="D10" s="60"/>
      <c r="E10" s="60"/>
      <c r="F10" s="61"/>
      <c r="G10" s="60"/>
    </row>
    <row r="11" spans="1:8" ht="15.6">
      <c r="A11" s="57"/>
      <c r="B11" s="60"/>
      <c r="C11" s="61" t="s">
        <v>70</v>
      </c>
      <c r="D11" s="60"/>
      <c r="E11" s="60"/>
      <c r="F11" s="61"/>
      <c r="G11" s="60"/>
    </row>
    <row r="12" spans="1:8" ht="15.6">
      <c r="A12" s="57"/>
      <c r="B12" s="60"/>
      <c r="C12" s="61" t="s">
        <v>71</v>
      </c>
      <c r="D12" s="60"/>
      <c r="E12" s="60"/>
      <c r="F12" s="61"/>
      <c r="G12" s="60"/>
    </row>
    <row r="13" spans="1:8" ht="15.6">
      <c r="A13" s="57"/>
      <c r="B13" s="60"/>
      <c r="C13" s="61">
        <v>0.2</v>
      </c>
      <c r="D13" s="60"/>
      <c r="E13" s="60"/>
      <c r="F13" s="61"/>
      <c r="G13" s="60"/>
    </row>
    <row r="14" spans="1:8" ht="15.6">
      <c r="A14" s="62"/>
      <c r="B14" s="62"/>
      <c r="C14" s="61">
        <v>0.1</v>
      </c>
      <c r="D14" s="63"/>
      <c r="E14" s="62"/>
      <c r="F14" s="62"/>
      <c r="G14" s="62"/>
    </row>
    <row r="15" spans="1:8">
      <c r="A15" s="64"/>
      <c r="B15" s="64"/>
      <c r="C15" s="65"/>
      <c r="D15" s="60"/>
      <c r="E15" s="62"/>
      <c r="F15" s="62"/>
      <c r="G15" s="62"/>
    </row>
    <row r="16" spans="1:8">
      <c r="A16" s="65" t="s">
        <v>72</v>
      </c>
      <c r="B16" s="64"/>
      <c r="C16" s="65">
        <v>5</v>
      </c>
      <c r="D16" s="60"/>
      <c r="E16" s="62"/>
      <c r="F16" s="66">
        <v>1</v>
      </c>
      <c r="G16" s="62"/>
    </row>
    <row r="17" spans="1:10">
      <c r="A17" s="65" t="s">
        <v>73</v>
      </c>
      <c r="B17" s="64"/>
      <c r="C17" s="65">
        <v>5</v>
      </c>
      <c r="D17" s="60"/>
      <c r="E17" s="62"/>
      <c r="F17" s="66">
        <v>2</v>
      </c>
      <c r="G17" s="62"/>
    </row>
    <row r="18" spans="1:10">
      <c r="A18" s="65" t="s">
        <v>74</v>
      </c>
      <c r="B18" s="64"/>
      <c r="C18" s="65">
        <v>5</v>
      </c>
      <c r="D18" s="60"/>
      <c r="E18" s="62"/>
      <c r="F18" s="66">
        <v>3</v>
      </c>
      <c r="G18" s="62"/>
    </row>
    <row r="19" spans="1:10">
      <c r="A19" s="65" t="s">
        <v>75</v>
      </c>
      <c r="B19" s="64"/>
      <c r="C19" s="65">
        <v>5</v>
      </c>
      <c r="D19" s="60"/>
      <c r="E19" s="62"/>
      <c r="F19" s="66">
        <v>4</v>
      </c>
      <c r="G19" s="62"/>
    </row>
    <row r="20" spans="1:10">
      <c r="A20" s="65" t="s">
        <v>76</v>
      </c>
      <c r="B20" s="64"/>
      <c r="C20" s="65">
        <v>5</v>
      </c>
      <c r="D20" s="60"/>
      <c r="E20" s="62"/>
      <c r="F20" s="66">
        <v>5</v>
      </c>
      <c r="G20" s="62"/>
    </row>
    <row r="21" spans="1:10">
      <c r="A21" s="65" t="s">
        <v>21</v>
      </c>
      <c r="B21" s="64"/>
      <c r="C21" s="65">
        <v>5</v>
      </c>
      <c r="D21" s="60"/>
      <c r="E21" s="62"/>
      <c r="F21" s="66">
        <v>6</v>
      </c>
      <c r="G21" s="62"/>
    </row>
    <row r="22" spans="1:10">
      <c r="A22" s="65" t="s">
        <v>77</v>
      </c>
      <c r="B22" s="64"/>
      <c r="C22" s="65">
        <v>5</v>
      </c>
      <c r="D22" s="60"/>
      <c r="E22" s="62"/>
      <c r="F22" s="66">
        <v>7</v>
      </c>
      <c r="G22" s="62"/>
    </row>
    <row r="23" spans="1:10">
      <c r="A23" s="65" t="s">
        <v>25</v>
      </c>
      <c r="B23" s="64"/>
      <c r="C23" s="65">
        <v>5</v>
      </c>
      <c r="D23" s="60"/>
      <c r="E23" s="62"/>
      <c r="F23" s="66">
        <v>8</v>
      </c>
      <c r="G23" s="62"/>
    </row>
    <row r="24" spans="1:10">
      <c r="A24" s="65" t="s">
        <v>27</v>
      </c>
      <c r="B24" s="64"/>
      <c r="C24" s="65">
        <v>5</v>
      </c>
      <c r="D24" s="60"/>
      <c r="E24" s="62"/>
      <c r="F24" s="66">
        <v>9</v>
      </c>
      <c r="G24" s="62"/>
    </row>
    <row r="25" spans="1:10">
      <c r="A25" s="65" t="s">
        <v>29</v>
      </c>
      <c r="B25" s="64"/>
      <c r="C25" s="65">
        <v>5</v>
      </c>
      <c r="D25" s="60"/>
      <c r="E25" s="62"/>
      <c r="F25" s="66">
        <v>10</v>
      </c>
      <c r="G25" s="62"/>
    </row>
    <row r="26" spans="1:10">
      <c r="A26" s="68" t="s">
        <v>31</v>
      </c>
      <c r="B26" s="64"/>
      <c r="C26" s="65">
        <v>5</v>
      </c>
      <c r="D26" s="60"/>
      <c r="E26" s="62"/>
      <c r="F26" s="66">
        <v>11</v>
      </c>
      <c r="G26" s="62"/>
    </row>
    <row r="27" spans="1:10">
      <c r="A27" s="65" t="s">
        <v>33</v>
      </c>
      <c r="B27" s="64"/>
      <c r="C27" s="65">
        <v>5</v>
      </c>
      <c r="D27" s="65"/>
      <c r="E27" s="62"/>
      <c r="F27" s="66">
        <v>12</v>
      </c>
      <c r="G27" s="62"/>
    </row>
    <row r="28" spans="1:10">
      <c r="A28" s="65" t="s">
        <v>35</v>
      </c>
      <c r="B28" s="64"/>
      <c r="C28" s="65">
        <v>5</v>
      </c>
      <c r="D28" s="65"/>
      <c r="E28" s="62"/>
      <c r="F28" s="66">
        <v>13</v>
      </c>
      <c r="G28" s="62"/>
    </row>
    <row r="29" spans="1:10">
      <c r="A29" s="65" t="s">
        <v>37</v>
      </c>
      <c r="B29" s="65"/>
      <c r="C29" s="65">
        <v>5</v>
      </c>
      <c r="D29" s="65"/>
      <c r="E29" s="62"/>
      <c r="F29" s="66">
        <v>14</v>
      </c>
      <c r="G29" s="62"/>
    </row>
    <row r="30" spans="1:10">
      <c r="A30" s="65" t="s">
        <v>39</v>
      </c>
      <c r="B30" s="65"/>
      <c r="C30" s="65">
        <v>5</v>
      </c>
      <c r="D30" s="65"/>
      <c r="E30" s="62"/>
      <c r="F30" s="66">
        <v>15</v>
      </c>
      <c r="G30" s="62"/>
      <c r="J30" t="s">
        <v>78</v>
      </c>
    </row>
    <row r="31" spans="1:10">
      <c r="A31" s="65" t="s">
        <v>41</v>
      </c>
      <c r="B31" s="65"/>
      <c r="C31" s="65">
        <v>5</v>
      </c>
      <c r="D31" s="65"/>
      <c r="E31" s="62"/>
      <c r="F31" s="66">
        <v>16</v>
      </c>
      <c r="G31" s="62"/>
    </row>
    <row r="32" spans="1:10">
      <c r="A32" s="65" t="s">
        <v>43</v>
      </c>
      <c r="B32" s="65"/>
      <c r="C32" s="65">
        <v>5</v>
      </c>
      <c r="D32" s="65"/>
      <c r="E32" s="62"/>
      <c r="F32" s="66">
        <v>17</v>
      </c>
      <c r="G32" s="62"/>
    </row>
    <row r="33" spans="1:7">
      <c r="A33" s="65" t="s">
        <v>45</v>
      </c>
      <c r="B33" s="65"/>
      <c r="C33" s="65">
        <v>5</v>
      </c>
      <c r="D33" s="65"/>
      <c r="E33" s="62"/>
      <c r="F33" s="66">
        <v>18</v>
      </c>
      <c r="G33" s="62"/>
    </row>
    <row r="34" spans="1:7">
      <c r="A34" s="65" t="s">
        <v>47</v>
      </c>
      <c r="B34" s="65"/>
      <c r="C34" s="65">
        <v>5</v>
      </c>
      <c r="D34" s="65"/>
      <c r="E34" s="62"/>
      <c r="F34" s="66">
        <v>19</v>
      </c>
      <c r="G34" s="62"/>
    </row>
    <row r="35" spans="1:7">
      <c r="A35" s="65" t="s">
        <v>49</v>
      </c>
      <c r="B35" s="65"/>
      <c r="C35" s="65">
        <v>5</v>
      </c>
      <c r="D35" s="65"/>
      <c r="E35" s="62"/>
      <c r="F35" s="66">
        <v>20</v>
      </c>
      <c r="G35" s="62"/>
    </row>
    <row r="36" spans="1:7">
      <c r="A36" s="65" t="s">
        <v>51</v>
      </c>
      <c r="B36" s="65"/>
      <c r="C36" s="65">
        <v>5</v>
      </c>
      <c r="D36" s="65"/>
      <c r="E36" s="62"/>
      <c r="F36" s="66">
        <v>21</v>
      </c>
      <c r="G36" s="62"/>
    </row>
    <row r="37" spans="1:7">
      <c r="A37" s="68" t="s">
        <v>53</v>
      </c>
      <c r="B37" s="65"/>
      <c r="C37" s="65">
        <v>5</v>
      </c>
      <c r="D37" s="65"/>
      <c r="E37" s="62"/>
      <c r="F37" s="66">
        <v>22</v>
      </c>
      <c r="G37" s="62"/>
    </row>
    <row r="38" spans="1:7">
      <c r="A38" s="65"/>
      <c r="B38" s="65"/>
      <c r="C38" s="65"/>
      <c r="D38" s="65"/>
      <c r="E38" s="62"/>
      <c r="F38" s="66"/>
      <c r="G38" s="62"/>
    </row>
    <row r="39" spans="1:7">
      <c r="A39" s="65"/>
      <c r="B39" s="65"/>
      <c r="C39" s="65"/>
      <c r="D39" s="65"/>
      <c r="E39" s="62"/>
      <c r="F39" s="66"/>
      <c r="G39" s="62"/>
    </row>
    <row r="40" spans="1:7">
      <c r="A40" s="65"/>
      <c r="B40" s="65"/>
      <c r="C40" s="65"/>
      <c r="D40" s="65"/>
      <c r="E40" s="62"/>
      <c r="F40" s="66"/>
      <c r="G40" s="62"/>
    </row>
    <row r="41" spans="1:7">
      <c r="A41" s="65"/>
      <c r="B41" s="65"/>
      <c r="C41" s="65"/>
      <c r="D41" s="65"/>
      <c r="E41" s="62"/>
      <c r="F41" s="66"/>
      <c r="G41" s="62"/>
    </row>
    <row r="42" spans="1:7" ht="15.6">
      <c r="A42" s="65"/>
      <c r="B42" s="62"/>
      <c r="C42" s="65"/>
      <c r="D42" s="63"/>
      <c r="E42" s="62"/>
      <c r="F42" s="66"/>
      <c r="G42" s="62"/>
    </row>
    <row r="43" spans="1:7" ht="15.6">
      <c r="A43" s="62"/>
      <c r="B43" s="62"/>
      <c r="C43" s="63"/>
      <c r="D43" s="63"/>
      <c r="E43" s="62"/>
      <c r="F43" s="62"/>
      <c r="G43" s="62"/>
    </row>
    <row r="44" spans="1:7" ht="15.6">
      <c r="A44" s="62"/>
      <c r="B44" s="62"/>
      <c r="C44" s="63"/>
      <c r="D44" s="63"/>
      <c r="E44" s="62"/>
      <c r="F44" s="62"/>
      <c r="G44" s="62"/>
    </row>
    <row r="45" spans="1:7" ht="15.6">
      <c r="A45" s="62"/>
      <c r="B45" s="62"/>
      <c r="C45" s="63"/>
      <c r="D45" s="63"/>
      <c r="E45" s="62"/>
      <c r="F45" s="62"/>
      <c r="G45" s="62"/>
    </row>
    <row r="46" spans="1:7" ht="15.6">
      <c r="A46" s="62"/>
      <c r="B46" s="62"/>
      <c r="C46" s="63"/>
      <c r="D46" s="63"/>
      <c r="E46" s="62"/>
      <c r="F46" s="62"/>
      <c r="G46" s="6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AA2E-1556-5341-8BBA-C8385CB74647}">
  <dimension ref="A1:Z43"/>
  <sheetViews>
    <sheetView tabSelected="1" topLeftCell="F1" zoomScale="120" zoomScaleNormal="120" workbookViewId="0">
      <selection activeCell="I4" sqref="I4"/>
    </sheetView>
  </sheetViews>
  <sheetFormatPr defaultColWidth="11.5703125" defaultRowHeight="14.45"/>
  <cols>
    <col min="1" max="1" width="15.28515625" customWidth="1"/>
    <col min="2" max="2" width="19.7109375" bestFit="1" customWidth="1"/>
    <col min="5" max="5" width="10.85546875" bestFit="1" customWidth="1"/>
    <col min="6" max="6" width="16.5703125" bestFit="1" customWidth="1"/>
    <col min="9" max="9" width="15.140625" bestFit="1" customWidth="1"/>
    <col min="10" max="10" width="16.140625" style="37" customWidth="1"/>
  </cols>
  <sheetData>
    <row r="1" spans="1:26">
      <c r="A1" s="1" t="s">
        <v>79</v>
      </c>
      <c r="B1" s="2" t="s">
        <v>2</v>
      </c>
      <c r="C1" s="2" t="s">
        <v>80</v>
      </c>
      <c r="D1" s="2" t="s">
        <v>81</v>
      </c>
      <c r="E1" s="2" t="s">
        <v>82</v>
      </c>
      <c r="F1" s="2" t="s">
        <v>83</v>
      </c>
      <c r="G1" s="3"/>
      <c r="H1" s="3"/>
      <c r="I1" s="3"/>
      <c r="J1" s="76"/>
      <c r="K1" s="4"/>
      <c r="L1" s="4"/>
      <c r="M1" s="4"/>
      <c r="N1" s="4"/>
      <c r="O1" s="4"/>
      <c r="P1" s="4"/>
      <c r="Q1" s="4"/>
      <c r="R1" s="4"/>
      <c r="S1" s="4"/>
    </row>
    <row r="2" spans="1:26" ht="16.149999999999999">
      <c r="A2" s="5" t="s">
        <v>84</v>
      </c>
      <c r="B2" s="5" t="s">
        <v>85</v>
      </c>
      <c r="C2" s="5" t="s">
        <v>86</v>
      </c>
      <c r="D2" s="5" t="s">
        <v>87</v>
      </c>
      <c r="E2" s="5" t="s">
        <v>87</v>
      </c>
      <c r="F2" s="5" t="s">
        <v>88</v>
      </c>
      <c r="G2" s="5"/>
      <c r="H2" s="5"/>
      <c r="I2" s="5"/>
      <c r="J2" s="76"/>
      <c r="K2" s="4"/>
      <c r="L2" s="4"/>
      <c r="M2" s="4"/>
      <c r="N2" s="4"/>
      <c r="O2" s="4"/>
      <c r="P2" s="4"/>
      <c r="Q2" s="4"/>
      <c r="R2" s="4"/>
      <c r="S2" s="4"/>
    </row>
    <row r="3" spans="1:26">
      <c r="A3" s="3">
        <v>5</v>
      </c>
      <c r="B3" s="84">
        <v>45459</v>
      </c>
      <c r="C3" s="83">
        <v>2992</v>
      </c>
      <c r="D3" s="81">
        <v>1739</v>
      </c>
      <c r="E3" s="81">
        <v>354</v>
      </c>
      <c r="F3" s="7">
        <f>A3/1000*C3</f>
        <v>14.96</v>
      </c>
      <c r="G3" s="4"/>
      <c r="H3" s="4"/>
      <c r="I3" s="4"/>
      <c r="J3" s="76"/>
      <c r="K3" s="4"/>
      <c r="L3" s="4"/>
      <c r="M3" s="4"/>
      <c r="N3" s="4"/>
      <c r="O3" s="4"/>
      <c r="P3" s="4"/>
      <c r="Q3" s="4"/>
      <c r="R3" s="4"/>
      <c r="S3" s="4"/>
    </row>
    <row r="4" spans="1:26">
      <c r="A4" s="3">
        <v>4.4000000000000004</v>
      </c>
      <c r="B4" s="84">
        <v>44608</v>
      </c>
      <c r="C4" s="83">
        <v>2992</v>
      </c>
      <c r="D4" s="81">
        <v>1598.2</v>
      </c>
      <c r="E4" s="81">
        <v>320.8</v>
      </c>
      <c r="F4" s="7">
        <f t="shared" ref="F4:F15" si="0">A4/1000*C4</f>
        <v>13.164800000000001</v>
      </c>
      <c r="G4" s="4"/>
      <c r="H4" s="4"/>
      <c r="I4" s="4"/>
      <c r="J4" s="76"/>
      <c r="K4" s="4"/>
      <c r="L4" s="4"/>
      <c r="M4" s="4"/>
      <c r="N4" s="4"/>
      <c r="O4" s="4"/>
      <c r="P4" s="4"/>
      <c r="Q4" s="4"/>
      <c r="R4" s="4"/>
      <c r="S4" s="4"/>
    </row>
    <row r="5" spans="1:26">
      <c r="A5" s="3">
        <v>4</v>
      </c>
      <c r="B5" s="84">
        <v>44608</v>
      </c>
      <c r="C5" s="83">
        <v>2992</v>
      </c>
      <c r="D5" s="81">
        <v>1489.3</v>
      </c>
      <c r="E5" s="81">
        <v>290.2</v>
      </c>
      <c r="F5" s="7">
        <f t="shared" si="0"/>
        <v>11.968</v>
      </c>
      <c r="G5" s="3"/>
      <c r="H5" s="3"/>
      <c r="I5" s="8"/>
      <c r="J5" s="76"/>
      <c r="K5" s="4"/>
      <c r="L5" s="4"/>
      <c r="M5" s="4"/>
      <c r="N5" s="4"/>
      <c r="O5" s="4"/>
      <c r="P5" s="4"/>
      <c r="Q5" s="4"/>
      <c r="R5" s="4"/>
      <c r="S5" s="4"/>
    </row>
    <row r="6" spans="1:26">
      <c r="A6" s="3">
        <v>3.4</v>
      </c>
      <c r="B6" s="84">
        <v>44608</v>
      </c>
      <c r="C6" s="83">
        <v>2992</v>
      </c>
      <c r="D6" s="81">
        <v>1365.8</v>
      </c>
      <c r="E6" s="81">
        <v>268.60000000000002</v>
      </c>
      <c r="F6" s="7">
        <f t="shared" si="0"/>
        <v>10.172799999999999</v>
      </c>
      <c r="G6" s="4"/>
      <c r="H6" s="4"/>
      <c r="I6" s="4"/>
      <c r="J6" s="76"/>
      <c r="K6" s="4"/>
      <c r="L6" s="4"/>
      <c r="M6" s="4"/>
      <c r="N6" s="4"/>
      <c r="O6" s="4"/>
      <c r="P6" s="4"/>
      <c r="Q6" s="4"/>
      <c r="R6" s="4"/>
      <c r="S6" s="4"/>
    </row>
    <row r="7" spans="1:26">
      <c r="A7" s="3">
        <v>3</v>
      </c>
      <c r="B7" s="84">
        <v>44608</v>
      </c>
      <c r="C7" s="83">
        <v>2992</v>
      </c>
      <c r="D7" s="81">
        <v>1190.5</v>
      </c>
      <c r="E7" s="81">
        <v>235.9</v>
      </c>
      <c r="F7" s="7">
        <f t="shared" si="0"/>
        <v>8.9760000000000009</v>
      </c>
      <c r="G7" s="3"/>
      <c r="H7" s="3"/>
      <c r="I7" s="8"/>
      <c r="J7" s="76"/>
      <c r="K7" s="4"/>
      <c r="L7" s="4"/>
      <c r="M7" s="4"/>
      <c r="N7" s="4"/>
      <c r="O7" s="4"/>
      <c r="P7" s="4"/>
      <c r="Q7" s="4"/>
      <c r="R7" s="4"/>
      <c r="S7" s="4"/>
    </row>
    <row r="8" spans="1:26">
      <c r="A8" s="3">
        <v>2.4</v>
      </c>
      <c r="B8" s="84">
        <v>44608</v>
      </c>
      <c r="C8" s="83">
        <v>2992</v>
      </c>
      <c r="D8" s="81">
        <v>1030.9000000000001</v>
      </c>
      <c r="E8" s="81">
        <v>214.06</v>
      </c>
      <c r="F8" s="7">
        <f t="shared" si="0"/>
        <v>7.1807999999999996</v>
      </c>
      <c r="G8" s="4"/>
      <c r="H8" s="4"/>
      <c r="I8" s="4"/>
      <c r="J8" s="76"/>
      <c r="K8" s="4"/>
      <c r="L8" s="4"/>
      <c r="M8" s="4"/>
      <c r="N8" s="4"/>
      <c r="O8" s="4"/>
      <c r="P8" s="4"/>
      <c r="Q8" s="4"/>
      <c r="R8" s="4"/>
      <c r="S8" s="4"/>
    </row>
    <row r="9" spans="1:26">
      <c r="A9" s="3">
        <v>2</v>
      </c>
      <c r="B9" s="84">
        <v>44608</v>
      </c>
      <c r="C9" s="83">
        <v>2992</v>
      </c>
      <c r="D9" s="81">
        <v>834.86</v>
      </c>
      <c r="E9" s="81">
        <v>184.05</v>
      </c>
      <c r="F9" s="7">
        <f t="shared" si="0"/>
        <v>5.984</v>
      </c>
      <c r="G9" s="9" t="s">
        <v>89</v>
      </c>
      <c r="H9" s="9"/>
      <c r="I9" s="10">
        <f>SLOPE(F3:F14,D3:D14)</f>
        <v>8.2859228398101427E-3</v>
      </c>
      <c r="J9" s="76"/>
      <c r="K9" s="4"/>
      <c r="L9" s="4"/>
      <c r="M9" s="4"/>
      <c r="N9" s="4"/>
      <c r="O9" s="4"/>
      <c r="P9" s="4"/>
      <c r="Q9" s="4"/>
      <c r="R9" s="4"/>
      <c r="S9" s="4"/>
    </row>
    <row r="10" spans="1:26">
      <c r="A10" s="3">
        <v>1.4</v>
      </c>
      <c r="B10" s="84">
        <v>44608</v>
      </c>
      <c r="C10" s="83">
        <v>2992</v>
      </c>
      <c r="D10" s="81">
        <v>637.32000000000005</v>
      </c>
      <c r="E10" s="81">
        <v>143.41</v>
      </c>
      <c r="F10" s="7">
        <f t="shared" si="0"/>
        <v>4.1887999999999996</v>
      </c>
      <c r="G10" s="9" t="s">
        <v>90</v>
      </c>
      <c r="H10" s="9"/>
      <c r="I10" s="10">
        <f>INTERCEPT(F3:F14,D3:D14)</f>
        <v>-0.51598097878201354</v>
      </c>
      <c r="J10" s="76"/>
      <c r="K10" s="4"/>
      <c r="L10" s="4"/>
      <c r="M10" s="4"/>
      <c r="N10" s="4"/>
      <c r="O10" s="4"/>
      <c r="P10" s="4"/>
      <c r="Q10" s="4"/>
      <c r="R10" s="4"/>
      <c r="S10" s="4"/>
    </row>
    <row r="11" spans="1:26">
      <c r="A11" s="3">
        <v>1</v>
      </c>
      <c r="B11" s="84">
        <v>44608</v>
      </c>
      <c r="C11" s="83">
        <v>2992</v>
      </c>
      <c r="D11" s="81">
        <v>416.93</v>
      </c>
      <c r="E11" s="81">
        <v>86.84</v>
      </c>
      <c r="F11" s="7">
        <f t="shared" si="0"/>
        <v>2.992</v>
      </c>
      <c r="G11" s="3"/>
      <c r="H11" s="3"/>
      <c r="I11" s="10"/>
      <c r="J11" s="76"/>
      <c r="K11" s="4"/>
      <c r="L11" s="4"/>
      <c r="M11" s="4"/>
      <c r="N11" s="4"/>
      <c r="O11" s="4"/>
      <c r="P11" s="4"/>
      <c r="Q11" s="4"/>
      <c r="R11" s="4"/>
      <c r="S11" s="4"/>
    </row>
    <row r="12" spans="1:26" ht="15" thickBot="1">
      <c r="A12" s="11">
        <v>0.4</v>
      </c>
      <c r="B12" s="84">
        <v>44608</v>
      </c>
      <c r="C12" s="83">
        <v>2992</v>
      </c>
      <c r="D12" s="82">
        <v>176.58</v>
      </c>
      <c r="E12" s="82">
        <v>43.04</v>
      </c>
      <c r="F12" s="7">
        <f t="shared" si="0"/>
        <v>1.1968000000000001</v>
      </c>
      <c r="G12" s="12" t="s">
        <v>91</v>
      </c>
      <c r="H12" s="12"/>
      <c r="I12" s="13">
        <f>SLOPE(F3:F14,E3:E14)</f>
        <v>4.2216116276447883E-2</v>
      </c>
      <c r="J12" s="76"/>
      <c r="K12" s="4"/>
      <c r="L12" s="4"/>
      <c r="M12" s="4"/>
      <c r="N12" s="4"/>
      <c r="O12" s="4"/>
      <c r="P12" s="4"/>
      <c r="Q12" s="4"/>
      <c r="R12" s="4"/>
      <c r="S12" s="4"/>
    </row>
    <row r="13" spans="1:26">
      <c r="A13" s="11">
        <v>0.2</v>
      </c>
      <c r="B13" s="84">
        <v>44608</v>
      </c>
      <c r="C13" s="83">
        <v>2992</v>
      </c>
      <c r="D13" s="82">
        <v>88.82</v>
      </c>
      <c r="E13" s="82">
        <v>22.8</v>
      </c>
      <c r="F13" s="7">
        <f t="shared" si="0"/>
        <v>0.59840000000000004</v>
      </c>
      <c r="G13" s="14" t="s">
        <v>92</v>
      </c>
      <c r="H13" s="14"/>
      <c r="I13" s="13">
        <f>INTERCEPT(F3:F14,E3:E14)</f>
        <v>-0.84244364842028485</v>
      </c>
      <c r="J13" s="76"/>
      <c r="K13" s="4"/>
      <c r="L13" s="4"/>
      <c r="M13" s="4"/>
      <c r="N13" s="4"/>
      <c r="O13" s="4"/>
      <c r="P13" s="4"/>
      <c r="Q13" s="4"/>
      <c r="R13" s="4"/>
      <c r="S13" s="4"/>
      <c r="W13" s="90" t="s">
        <v>93</v>
      </c>
      <c r="X13" s="91"/>
      <c r="Y13" s="91"/>
      <c r="Z13" s="92"/>
    </row>
    <row r="14" spans="1:26">
      <c r="A14" s="11">
        <v>0.1</v>
      </c>
      <c r="B14" s="84">
        <v>44608</v>
      </c>
      <c r="C14" s="83">
        <v>2992</v>
      </c>
      <c r="D14" s="82">
        <v>36.93</v>
      </c>
      <c r="E14" s="82">
        <v>10.61</v>
      </c>
      <c r="F14" s="7">
        <f t="shared" si="0"/>
        <v>0.29920000000000002</v>
      </c>
      <c r="G14" s="4"/>
      <c r="H14" s="4"/>
      <c r="I14" s="4"/>
      <c r="J14" s="76"/>
      <c r="K14" s="4"/>
      <c r="L14" s="4"/>
      <c r="M14" s="4"/>
      <c r="N14" s="4"/>
      <c r="O14" s="4"/>
      <c r="P14" s="4"/>
      <c r="Q14" s="4"/>
      <c r="R14" s="4"/>
      <c r="S14" s="4"/>
      <c r="W14" s="15" t="s">
        <v>94</v>
      </c>
      <c r="X14" s="16" t="s">
        <v>95</v>
      </c>
      <c r="Y14" s="16" t="s">
        <v>94</v>
      </c>
      <c r="Z14" s="17" t="s">
        <v>95</v>
      </c>
    </row>
    <row r="15" spans="1:26" ht="15" thickBot="1">
      <c r="A15" s="11">
        <v>0</v>
      </c>
      <c r="B15" s="84">
        <v>44608</v>
      </c>
      <c r="C15" s="83">
        <v>2992</v>
      </c>
      <c r="D15" s="71"/>
      <c r="E15" s="71"/>
      <c r="F15" s="7">
        <f t="shared" si="0"/>
        <v>0</v>
      </c>
      <c r="G15" s="4"/>
      <c r="H15" s="4"/>
      <c r="I15" s="4"/>
      <c r="J15" s="76"/>
      <c r="K15" s="4"/>
      <c r="L15" s="4"/>
      <c r="M15" s="4"/>
      <c r="N15" s="4"/>
      <c r="O15" s="4"/>
      <c r="P15" s="4"/>
      <c r="Q15" s="4"/>
      <c r="R15" s="4"/>
      <c r="S15" s="4"/>
      <c r="W15" s="18"/>
      <c r="X15" s="19"/>
      <c r="Y15" s="19"/>
      <c r="Z15" s="20"/>
    </row>
    <row r="16" spans="1:26" ht="15.6">
      <c r="A16" s="21" t="s">
        <v>96</v>
      </c>
      <c r="B16" s="21" t="s">
        <v>97</v>
      </c>
      <c r="C16" s="21" t="s">
        <v>59</v>
      </c>
      <c r="D16" s="21" t="s">
        <v>81</v>
      </c>
      <c r="E16" s="21" t="s">
        <v>82</v>
      </c>
      <c r="F16" s="22" t="s">
        <v>98</v>
      </c>
      <c r="G16" s="22" t="s">
        <v>99</v>
      </c>
      <c r="H16" s="22" t="s">
        <v>100</v>
      </c>
      <c r="I16" s="23" t="s">
        <v>101</v>
      </c>
      <c r="J16" s="22" t="s">
        <v>102</v>
      </c>
      <c r="K16" s="21" t="s">
        <v>102</v>
      </c>
      <c r="L16" s="21" t="s">
        <v>103</v>
      </c>
      <c r="M16" s="21" t="s">
        <v>104</v>
      </c>
      <c r="N16" s="21" t="s">
        <v>105</v>
      </c>
      <c r="O16" s="21" t="s">
        <v>106</v>
      </c>
      <c r="P16" s="24" t="s">
        <v>107</v>
      </c>
      <c r="Q16" s="24" t="s">
        <v>108</v>
      </c>
      <c r="R16" s="24" t="s">
        <v>108</v>
      </c>
      <c r="S16" s="24" t="s">
        <v>108</v>
      </c>
      <c r="T16" s="24" t="s">
        <v>109</v>
      </c>
      <c r="U16" s="21" t="s">
        <v>110</v>
      </c>
      <c r="V16" s="21" t="s">
        <v>111</v>
      </c>
      <c r="W16" s="21" t="s">
        <v>106</v>
      </c>
      <c r="X16" s="21" t="s">
        <v>106</v>
      </c>
      <c r="Y16" s="24" t="s">
        <v>107</v>
      </c>
      <c r="Z16" s="24" t="s">
        <v>107</v>
      </c>
    </row>
    <row r="17" spans="1:26" ht="15.6">
      <c r="A17" s="5" t="s">
        <v>112</v>
      </c>
      <c r="B17" s="5" t="s">
        <v>113</v>
      </c>
      <c r="C17" s="5" t="s">
        <v>84</v>
      </c>
      <c r="D17" s="5" t="s">
        <v>87</v>
      </c>
      <c r="E17" s="5" t="s">
        <v>87</v>
      </c>
      <c r="F17" s="25" t="s">
        <v>114</v>
      </c>
      <c r="G17" s="25" t="s">
        <v>115</v>
      </c>
      <c r="H17" s="25"/>
      <c r="I17" s="26" t="s">
        <v>116</v>
      </c>
      <c r="J17" s="25" t="s">
        <v>117</v>
      </c>
      <c r="K17" s="5" t="s">
        <v>116</v>
      </c>
      <c r="L17" s="5" t="s">
        <v>84</v>
      </c>
      <c r="M17" s="5" t="s">
        <v>84</v>
      </c>
      <c r="N17" s="5" t="s">
        <v>118</v>
      </c>
      <c r="O17" s="5" t="s">
        <v>118</v>
      </c>
      <c r="P17" s="5" t="s">
        <v>118</v>
      </c>
      <c r="Q17" s="5" t="s">
        <v>119</v>
      </c>
      <c r="R17" s="5" t="s">
        <v>118</v>
      </c>
      <c r="S17" s="5" t="s">
        <v>120</v>
      </c>
      <c r="V17" s="5" t="s">
        <v>121</v>
      </c>
    </row>
    <row r="18" spans="1:26">
      <c r="A18" s="27">
        <f>Jar_Information!B3</f>
        <v>1</v>
      </c>
      <c r="B18" s="87">
        <v>42545</v>
      </c>
      <c r="C18" s="3">
        <v>5</v>
      </c>
      <c r="D18" s="83">
        <v>2083</v>
      </c>
      <c r="E18" s="83">
        <v>891.83</v>
      </c>
      <c r="F18" s="7">
        <f>((I$9*D18)+I$10)/C18/1000</f>
        <v>3.3487192593085026E-3</v>
      </c>
      <c r="G18" s="7">
        <f>((I$12*E18)+I$13)/C18/1000</f>
        <v>7.3614310660808473E-3</v>
      </c>
      <c r="H18" s="85">
        <v>0.60416666666666663</v>
      </c>
      <c r="I18" s="88" t="str">
        <f>Jar_Information!M3</f>
        <v>16/05/24 15:00</v>
      </c>
      <c r="J18" s="6">
        <f t="shared" ref="J18:J39" si="1">B18-I18</f>
        <v>30.375</v>
      </c>
      <c r="K18" s="31">
        <f>J18*24</f>
        <v>729</v>
      </c>
      <c r="L18" s="89">
        <v>587</v>
      </c>
      <c r="M18" s="31">
        <f>F18*L18</f>
        <v>1.965698205214091</v>
      </c>
      <c r="N18" s="31">
        <f>M18*1.83</f>
        <v>3.5972277155417869</v>
      </c>
      <c r="O18" s="33">
        <f t="shared" ref="O18:O39" si="2">N18*(12/(12+(16*2)))</f>
        <v>0.98106210423866913</v>
      </c>
      <c r="P18" s="34">
        <f>O18*(400/(400+L18))</f>
        <v>0.39759355794880208</v>
      </c>
      <c r="Q18" s="35"/>
      <c r="R18" s="35">
        <f>Q18/314.7</f>
        <v>0</v>
      </c>
      <c r="S18" s="35">
        <f>R18/P18*100</f>
        <v>0</v>
      </c>
      <c r="T18" s="36">
        <f>F18*1000000</f>
        <v>3348.7192593085028</v>
      </c>
      <c r="U18" s="37">
        <f>M18/L18*100</f>
        <v>0.33487192593085024</v>
      </c>
      <c r="V18" s="38">
        <f>O18/K18</f>
        <v>1.3457642033452252E-3</v>
      </c>
      <c r="W18" s="39">
        <f>V18*24*5</f>
        <v>0.16149170440142702</v>
      </c>
      <c r="X18" s="39">
        <f>V18*24*25</f>
        <v>0.80745852200713508</v>
      </c>
      <c r="Y18" s="40">
        <f t="shared" ref="Y18:Y39" si="3">W18*(400/(400+L18))</f>
        <v>6.5447499250831612E-2</v>
      </c>
      <c r="Z18" s="40">
        <f t="shared" ref="Z18:Z39" si="4">X18*(400/(400+L18))</f>
        <v>0.3272374962541581</v>
      </c>
    </row>
    <row r="19" spans="1:26">
      <c r="A19" s="27">
        <f>Jar_Information!B4</f>
        <v>2</v>
      </c>
      <c r="B19" s="86">
        <f t="shared" ref="B19:B39" si="5">$B$3+H19</f>
        <v>45459.604166666664</v>
      </c>
      <c r="C19" s="3"/>
      <c r="D19" s="83">
        <v>4039.8</v>
      </c>
      <c r="E19" s="83">
        <v>896.55</v>
      </c>
      <c r="F19" s="7" t="e">
        <f t="shared" ref="F19:F39" si="6">((I$9*D19)+I$10)/C19/1000</f>
        <v>#DIV/0!</v>
      </c>
      <c r="G19" s="7" t="e">
        <f t="shared" ref="G19:G39" si="7">((I$12*E19)+I$13)/C19/1000</f>
        <v>#DIV/0!</v>
      </c>
      <c r="H19" s="85">
        <v>0.60416666666666663</v>
      </c>
      <c r="I19" s="69" t="str">
        <f>Jar_Information!M4</f>
        <v>16/05/24 15:01</v>
      </c>
      <c r="J19" s="6">
        <f t="shared" si="1"/>
        <v>2944.9784722222175</v>
      </c>
      <c r="K19" s="31">
        <f t="shared" ref="K19:K39" si="8">J19*24</f>
        <v>70679.483333333221</v>
      </c>
      <c r="L19" s="89">
        <v>587</v>
      </c>
      <c r="M19" s="31" t="e">
        <f t="shared" ref="M19:M39" si="9">F19*L19</f>
        <v>#DIV/0!</v>
      </c>
      <c r="N19" s="31" t="e">
        <f t="shared" ref="N19:N39" si="10">M19*1.83</f>
        <v>#DIV/0!</v>
      </c>
      <c r="O19" s="33" t="e">
        <f t="shared" si="2"/>
        <v>#DIV/0!</v>
      </c>
      <c r="P19" s="34" t="e">
        <f t="shared" ref="P19:P39" si="11">O19*(400/(400+L19))</f>
        <v>#DIV/0!</v>
      </c>
      <c r="Q19" s="35"/>
      <c r="R19" s="35">
        <f t="shared" ref="R19:R39" si="12">Q19/314.7</f>
        <v>0</v>
      </c>
      <c r="S19" s="35" t="e">
        <f t="shared" ref="S19:S39" si="13">R19/P19*100</f>
        <v>#DIV/0!</v>
      </c>
      <c r="T19" s="36" t="e">
        <f t="shared" ref="T19:T39" si="14">F19*1000000</f>
        <v>#DIV/0!</v>
      </c>
      <c r="U19" s="37" t="e">
        <f t="shared" ref="U19:U39" si="15">M19/L19*100</f>
        <v>#DIV/0!</v>
      </c>
      <c r="V19" s="38" t="e">
        <f t="shared" ref="V19:V39" si="16">O19/K19</f>
        <v>#DIV/0!</v>
      </c>
      <c r="W19" s="39" t="e">
        <f t="shared" ref="W19:W39" si="17">V19*24*5</f>
        <v>#DIV/0!</v>
      </c>
      <c r="X19" s="39" t="e">
        <f t="shared" ref="X19:X39" si="18">V19*24*25</f>
        <v>#DIV/0!</v>
      </c>
      <c r="Y19" s="40" t="e">
        <f t="shared" si="3"/>
        <v>#DIV/0!</v>
      </c>
      <c r="Z19" s="40" t="e">
        <f t="shared" si="4"/>
        <v>#DIV/0!</v>
      </c>
    </row>
    <row r="20" spans="1:26">
      <c r="A20" s="27">
        <f>Jar_Information!B5</f>
        <v>3</v>
      </c>
      <c r="B20" s="86">
        <f t="shared" si="5"/>
        <v>45459.604166666664</v>
      </c>
      <c r="C20" s="3"/>
      <c r="D20" s="83">
        <v>4114.1000000000004</v>
      </c>
      <c r="E20" s="83">
        <v>845.59</v>
      </c>
      <c r="F20" s="7" t="e">
        <f t="shared" si="6"/>
        <v>#DIV/0!</v>
      </c>
      <c r="G20" s="7" t="e">
        <f t="shared" si="7"/>
        <v>#DIV/0!</v>
      </c>
      <c r="H20" s="85">
        <v>0.60416666666666663</v>
      </c>
      <c r="I20" s="69" t="str">
        <f>Jar_Information!M5</f>
        <v>16/05/24 15:02</v>
      </c>
      <c r="J20" s="6">
        <f t="shared" si="1"/>
        <v>2944.9777777777781</v>
      </c>
      <c r="K20" s="31">
        <f t="shared" si="8"/>
        <v>70679.466666666674</v>
      </c>
      <c r="L20" s="89">
        <v>587</v>
      </c>
      <c r="M20" s="31" t="e">
        <f t="shared" si="9"/>
        <v>#DIV/0!</v>
      </c>
      <c r="N20" s="31" t="e">
        <f t="shared" si="10"/>
        <v>#DIV/0!</v>
      </c>
      <c r="O20" s="33" t="e">
        <f t="shared" si="2"/>
        <v>#DIV/0!</v>
      </c>
      <c r="P20" s="34" t="e">
        <f t="shared" si="11"/>
        <v>#DIV/0!</v>
      </c>
      <c r="Q20" s="35"/>
      <c r="R20" s="35">
        <f t="shared" si="12"/>
        <v>0</v>
      </c>
      <c r="S20" s="35" t="e">
        <f t="shared" si="13"/>
        <v>#DIV/0!</v>
      </c>
      <c r="T20" s="36" t="e">
        <f t="shared" si="14"/>
        <v>#DIV/0!</v>
      </c>
      <c r="U20" s="37" t="e">
        <f t="shared" si="15"/>
        <v>#DIV/0!</v>
      </c>
      <c r="V20" s="38" t="e">
        <f t="shared" si="16"/>
        <v>#DIV/0!</v>
      </c>
      <c r="W20" s="39" t="e">
        <f t="shared" si="17"/>
        <v>#DIV/0!</v>
      </c>
      <c r="X20" s="39" t="e">
        <f t="shared" si="18"/>
        <v>#DIV/0!</v>
      </c>
      <c r="Y20" s="40" t="e">
        <f t="shared" si="3"/>
        <v>#DIV/0!</v>
      </c>
      <c r="Z20" s="40" t="e">
        <f t="shared" si="4"/>
        <v>#DIV/0!</v>
      </c>
    </row>
    <row r="21" spans="1:26">
      <c r="A21" s="27">
        <f>Jar_Information!B6</f>
        <v>4</v>
      </c>
      <c r="B21" s="86">
        <f t="shared" si="5"/>
        <v>45459.604166666664</v>
      </c>
      <c r="C21" s="3"/>
      <c r="D21" s="83">
        <v>3571.9</v>
      </c>
      <c r="E21" s="83">
        <v>849.81</v>
      </c>
      <c r="F21" s="7" t="e">
        <f t="shared" si="6"/>
        <v>#DIV/0!</v>
      </c>
      <c r="G21" s="7" t="e">
        <f t="shared" si="7"/>
        <v>#DIV/0!</v>
      </c>
      <c r="H21" s="85">
        <v>0.60416666666666663</v>
      </c>
      <c r="I21" s="69" t="str">
        <f>Jar_Information!M6</f>
        <v>16/05/24 15:03</v>
      </c>
      <c r="J21" s="6">
        <f t="shared" si="1"/>
        <v>2944.9770833333314</v>
      </c>
      <c r="K21" s="31">
        <f t="shared" si="8"/>
        <v>70679.449999999953</v>
      </c>
      <c r="L21" s="89">
        <v>587</v>
      </c>
      <c r="M21" s="31" t="e">
        <f t="shared" si="9"/>
        <v>#DIV/0!</v>
      </c>
      <c r="N21" s="31" t="e">
        <f t="shared" si="10"/>
        <v>#DIV/0!</v>
      </c>
      <c r="O21" s="33" t="e">
        <f t="shared" si="2"/>
        <v>#DIV/0!</v>
      </c>
      <c r="P21" s="34" t="e">
        <f t="shared" si="11"/>
        <v>#DIV/0!</v>
      </c>
      <c r="Q21" s="35"/>
      <c r="R21" s="35">
        <f t="shared" si="12"/>
        <v>0</v>
      </c>
      <c r="S21" s="35" t="e">
        <f t="shared" si="13"/>
        <v>#DIV/0!</v>
      </c>
      <c r="T21" s="36" t="e">
        <f t="shared" si="14"/>
        <v>#DIV/0!</v>
      </c>
      <c r="U21" s="37" t="e">
        <f t="shared" si="15"/>
        <v>#DIV/0!</v>
      </c>
      <c r="V21" s="38" t="e">
        <f t="shared" si="16"/>
        <v>#DIV/0!</v>
      </c>
      <c r="W21" s="39" t="e">
        <f t="shared" si="17"/>
        <v>#DIV/0!</v>
      </c>
      <c r="X21" s="39" t="e">
        <f t="shared" si="18"/>
        <v>#DIV/0!</v>
      </c>
      <c r="Y21" s="40" t="e">
        <f t="shared" si="3"/>
        <v>#DIV/0!</v>
      </c>
      <c r="Z21" s="40" t="e">
        <f t="shared" si="4"/>
        <v>#DIV/0!</v>
      </c>
    </row>
    <row r="22" spans="1:26">
      <c r="A22" s="27">
        <f>Jar_Information!B7</f>
        <v>5</v>
      </c>
      <c r="B22" s="86">
        <f t="shared" si="5"/>
        <v>45459.604166666664</v>
      </c>
      <c r="C22" s="3"/>
      <c r="D22" s="83">
        <v>3851.3</v>
      </c>
      <c r="E22" s="83">
        <v>781.87</v>
      </c>
      <c r="F22" s="7" t="e">
        <f t="shared" si="6"/>
        <v>#DIV/0!</v>
      </c>
      <c r="G22" s="7" t="e">
        <f t="shared" si="7"/>
        <v>#DIV/0!</v>
      </c>
      <c r="H22" s="85">
        <v>0.60416666666666663</v>
      </c>
      <c r="I22" s="69" t="str">
        <f>Jar_Information!M7</f>
        <v>16/05/24 15:04</v>
      </c>
      <c r="J22" s="6">
        <f t="shared" si="1"/>
        <v>2944.9763888888847</v>
      </c>
      <c r="K22" s="31">
        <f t="shared" si="8"/>
        <v>70679.433333333232</v>
      </c>
      <c r="L22" s="89">
        <v>587</v>
      </c>
      <c r="M22" s="31" t="e">
        <f t="shared" si="9"/>
        <v>#DIV/0!</v>
      </c>
      <c r="N22" s="31" t="e">
        <f t="shared" si="10"/>
        <v>#DIV/0!</v>
      </c>
      <c r="O22" s="33" t="e">
        <f t="shared" si="2"/>
        <v>#DIV/0!</v>
      </c>
      <c r="P22" s="34" t="e">
        <f t="shared" si="11"/>
        <v>#DIV/0!</v>
      </c>
      <c r="Q22" s="35"/>
      <c r="R22" s="35">
        <f t="shared" si="12"/>
        <v>0</v>
      </c>
      <c r="S22" s="35" t="e">
        <f t="shared" si="13"/>
        <v>#DIV/0!</v>
      </c>
      <c r="T22" s="36" t="e">
        <f t="shared" si="14"/>
        <v>#DIV/0!</v>
      </c>
      <c r="U22" s="37" t="e">
        <f t="shared" si="15"/>
        <v>#DIV/0!</v>
      </c>
      <c r="V22" s="38" t="e">
        <f t="shared" si="16"/>
        <v>#DIV/0!</v>
      </c>
      <c r="W22" s="39" t="e">
        <f t="shared" si="17"/>
        <v>#DIV/0!</v>
      </c>
      <c r="X22" s="39" t="e">
        <f t="shared" si="18"/>
        <v>#DIV/0!</v>
      </c>
      <c r="Y22" s="40" t="e">
        <f t="shared" si="3"/>
        <v>#DIV/0!</v>
      </c>
      <c r="Z22" s="40" t="e">
        <f t="shared" si="4"/>
        <v>#DIV/0!</v>
      </c>
    </row>
    <row r="23" spans="1:26">
      <c r="A23" s="27" t="str">
        <f>Jar_Information!B8</f>
        <v>Peat-1-10-60</v>
      </c>
      <c r="B23" s="73">
        <f t="shared" si="5"/>
        <v>45459.604166666664</v>
      </c>
      <c r="C23" s="3"/>
      <c r="D23" s="3">
        <v>2968.6</v>
      </c>
      <c r="E23" s="3">
        <v>599.29999999999995</v>
      </c>
      <c r="F23" s="7" t="e">
        <f t="shared" si="6"/>
        <v>#DIV/0!</v>
      </c>
      <c r="G23" s="7" t="e">
        <f t="shared" si="7"/>
        <v>#DIV/0!</v>
      </c>
      <c r="H23" s="72">
        <v>0.60416666666666663</v>
      </c>
      <c r="I23" s="69" t="str">
        <f>Jar_Information!M8</f>
        <v>16/05/24 15:05</v>
      </c>
      <c r="J23" s="6">
        <f t="shared" si="1"/>
        <v>2944.9756944444453</v>
      </c>
      <c r="K23" s="31">
        <f t="shared" si="8"/>
        <v>70679.416666666686</v>
      </c>
      <c r="L23" s="89">
        <v>587</v>
      </c>
      <c r="M23" s="31" t="e">
        <f t="shared" si="9"/>
        <v>#DIV/0!</v>
      </c>
      <c r="N23" s="31" t="e">
        <f t="shared" si="10"/>
        <v>#DIV/0!</v>
      </c>
      <c r="O23" s="33" t="e">
        <f t="shared" si="2"/>
        <v>#DIV/0!</v>
      </c>
      <c r="P23" s="34" t="e">
        <f t="shared" si="11"/>
        <v>#DIV/0!</v>
      </c>
      <c r="Q23" s="35"/>
      <c r="R23" s="35">
        <f t="shared" si="12"/>
        <v>0</v>
      </c>
      <c r="S23" s="35" t="e">
        <f t="shared" si="13"/>
        <v>#DIV/0!</v>
      </c>
      <c r="T23" s="36" t="e">
        <f t="shared" si="14"/>
        <v>#DIV/0!</v>
      </c>
      <c r="U23" s="37" t="e">
        <f t="shared" si="15"/>
        <v>#DIV/0!</v>
      </c>
      <c r="V23" s="38" t="e">
        <f t="shared" si="16"/>
        <v>#DIV/0!</v>
      </c>
      <c r="W23" s="39" t="e">
        <f t="shared" si="17"/>
        <v>#DIV/0!</v>
      </c>
      <c r="X23" s="39" t="e">
        <f t="shared" si="18"/>
        <v>#DIV/0!</v>
      </c>
      <c r="Y23" s="40" t="e">
        <f t="shared" si="3"/>
        <v>#DIV/0!</v>
      </c>
      <c r="Z23" s="40" t="e">
        <f t="shared" si="4"/>
        <v>#DIV/0!</v>
      </c>
    </row>
    <row r="24" spans="1:26">
      <c r="A24" s="27" t="str">
        <f>Jar_Information!B9</f>
        <v>Peat-2-10-60</v>
      </c>
      <c r="B24" s="73">
        <f t="shared" si="5"/>
        <v>45459.604166666664</v>
      </c>
      <c r="C24" s="3"/>
      <c r="D24" s="3">
        <v>2864</v>
      </c>
      <c r="E24" s="3">
        <v>699.24</v>
      </c>
      <c r="F24" s="7" t="e">
        <f t="shared" si="6"/>
        <v>#DIV/0!</v>
      </c>
      <c r="G24" s="7" t="e">
        <f t="shared" si="7"/>
        <v>#DIV/0!</v>
      </c>
      <c r="H24" s="72">
        <v>0.60416666666666663</v>
      </c>
      <c r="I24" s="69" t="str">
        <f>Jar_Information!M9</f>
        <v>16/05/24 15:06</v>
      </c>
      <c r="J24" s="6">
        <f t="shared" si="1"/>
        <v>2944.9749999999985</v>
      </c>
      <c r="K24" s="31">
        <f t="shared" si="8"/>
        <v>70679.399999999965</v>
      </c>
      <c r="L24" s="89">
        <v>587</v>
      </c>
      <c r="M24" s="31" t="e">
        <f t="shared" si="9"/>
        <v>#DIV/0!</v>
      </c>
      <c r="N24" s="31" t="e">
        <f t="shared" si="10"/>
        <v>#DIV/0!</v>
      </c>
      <c r="O24" s="33" t="e">
        <f t="shared" si="2"/>
        <v>#DIV/0!</v>
      </c>
      <c r="P24" s="34" t="e">
        <f t="shared" si="11"/>
        <v>#DIV/0!</v>
      </c>
      <c r="Q24" s="35"/>
      <c r="R24" s="35">
        <f t="shared" si="12"/>
        <v>0</v>
      </c>
      <c r="S24" s="35" t="e">
        <f t="shared" si="13"/>
        <v>#DIV/0!</v>
      </c>
      <c r="T24" s="36" t="e">
        <f t="shared" si="14"/>
        <v>#DIV/0!</v>
      </c>
      <c r="U24" s="37" t="e">
        <f t="shared" si="15"/>
        <v>#DIV/0!</v>
      </c>
      <c r="V24" s="38" t="e">
        <f t="shared" si="16"/>
        <v>#DIV/0!</v>
      </c>
      <c r="W24" s="39" t="e">
        <f t="shared" si="17"/>
        <v>#DIV/0!</v>
      </c>
      <c r="X24" s="39" t="e">
        <f t="shared" si="18"/>
        <v>#DIV/0!</v>
      </c>
      <c r="Y24" s="40" t="e">
        <f t="shared" si="3"/>
        <v>#DIV/0!</v>
      </c>
      <c r="Z24" s="40" t="e">
        <f t="shared" si="4"/>
        <v>#DIV/0!</v>
      </c>
    </row>
    <row r="25" spans="1:26">
      <c r="A25" s="27" t="str">
        <f>Jar_Information!B10</f>
        <v>Peat-3-10-60</v>
      </c>
      <c r="B25" s="73">
        <f t="shared" si="5"/>
        <v>45459.604166666664</v>
      </c>
      <c r="C25" s="3"/>
      <c r="D25" s="3">
        <v>2728.4</v>
      </c>
      <c r="E25" s="3">
        <v>656.06</v>
      </c>
      <c r="F25" s="7" t="e">
        <f t="shared" si="6"/>
        <v>#DIV/0!</v>
      </c>
      <c r="G25" s="7" t="e">
        <f t="shared" si="7"/>
        <v>#DIV/0!</v>
      </c>
      <c r="H25" s="72">
        <v>0.60416666666666663</v>
      </c>
      <c r="I25" s="69" t="str">
        <f>Jar_Information!M10</f>
        <v>16/05/24 15:07</v>
      </c>
      <c r="J25" s="6">
        <f t="shared" si="1"/>
        <v>2944.9743055555518</v>
      </c>
      <c r="K25" s="31">
        <f t="shared" si="8"/>
        <v>70679.383333333244</v>
      </c>
      <c r="L25" s="89">
        <v>587</v>
      </c>
      <c r="M25" s="31" t="e">
        <f t="shared" si="9"/>
        <v>#DIV/0!</v>
      </c>
      <c r="N25" s="31" t="e">
        <f t="shared" si="10"/>
        <v>#DIV/0!</v>
      </c>
      <c r="O25" s="33" t="e">
        <f t="shared" si="2"/>
        <v>#DIV/0!</v>
      </c>
      <c r="P25" s="34" t="e">
        <f t="shared" si="11"/>
        <v>#DIV/0!</v>
      </c>
      <c r="Q25" s="35"/>
      <c r="R25" s="35">
        <f t="shared" si="12"/>
        <v>0</v>
      </c>
      <c r="S25" s="35" t="e">
        <f t="shared" si="13"/>
        <v>#DIV/0!</v>
      </c>
      <c r="T25" s="36" t="e">
        <f t="shared" si="14"/>
        <v>#DIV/0!</v>
      </c>
      <c r="U25" s="37" t="e">
        <f t="shared" si="15"/>
        <v>#DIV/0!</v>
      </c>
      <c r="V25" s="38" t="e">
        <f t="shared" si="16"/>
        <v>#DIV/0!</v>
      </c>
      <c r="W25" s="39" t="e">
        <f t="shared" si="17"/>
        <v>#DIV/0!</v>
      </c>
      <c r="X25" s="39" t="e">
        <f t="shared" si="18"/>
        <v>#DIV/0!</v>
      </c>
      <c r="Y25" s="40" t="e">
        <f t="shared" si="3"/>
        <v>#DIV/0!</v>
      </c>
      <c r="Z25" s="40" t="e">
        <f t="shared" si="4"/>
        <v>#DIV/0!</v>
      </c>
    </row>
    <row r="26" spans="1:26">
      <c r="A26" s="27" t="str">
        <f>Jar_Information!B11</f>
        <v>Peat-4-10-60</v>
      </c>
      <c r="B26" s="73">
        <f t="shared" si="5"/>
        <v>45459.604166666664</v>
      </c>
      <c r="C26" s="3"/>
      <c r="D26" s="3">
        <v>2634.2</v>
      </c>
      <c r="E26" s="3">
        <v>610.83000000000004</v>
      </c>
      <c r="F26" s="7" t="e">
        <f t="shared" si="6"/>
        <v>#DIV/0!</v>
      </c>
      <c r="G26" s="7" t="e">
        <f t="shared" si="7"/>
        <v>#DIV/0!</v>
      </c>
      <c r="H26" s="72">
        <v>0.60416666666666663</v>
      </c>
      <c r="I26" s="69" t="str">
        <f>Jar_Information!M11</f>
        <v>16/05/24 15:08</v>
      </c>
      <c r="J26" s="6">
        <f t="shared" si="1"/>
        <v>2944.9736111111051</v>
      </c>
      <c r="K26" s="31">
        <f t="shared" si="8"/>
        <v>70679.366666666523</v>
      </c>
      <c r="L26" s="89">
        <v>587</v>
      </c>
      <c r="M26" s="31" t="e">
        <f t="shared" si="9"/>
        <v>#DIV/0!</v>
      </c>
      <c r="N26" s="31" t="e">
        <f t="shared" si="10"/>
        <v>#DIV/0!</v>
      </c>
      <c r="O26" s="33" t="e">
        <f t="shared" si="2"/>
        <v>#DIV/0!</v>
      </c>
      <c r="P26" s="34" t="e">
        <f t="shared" si="11"/>
        <v>#DIV/0!</v>
      </c>
      <c r="Q26" s="35"/>
      <c r="R26" s="35">
        <f t="shared" si="12"/>
        <v>0</v>
      </c>
      <c r="S26" s="35" t="e">
        <f t="shared" si="13"/>
        <v>#DIV/0!</v>
      </c>
      <c r="T26" s="36" t="e">
        <f t="shared" si="14"/>
        <v>#DIV/0!</v>
      </c>
      <c r="U26" s="37" t="e">
        <f t="shared" si="15"/>
        <v>#DIV/0!</v>
      </c>
      <c r="V26" s="38" t="e">
        <f t="shared" si="16"/>
        <v>#DIV/0!</v>
      </c>
      <c r="W26" s="39" t="e">
        <f t="shared" si="17"/>
        <v>#DIV/0!</v>
      </c>
      <c r="X26" s="39" t="e">
        <f t="shared" si="18"/>
        <v>#DIV/0!</v>
      </c>
      <c r="Y26" s="40" t="e">
        <f t="shared" si="3"/>
        <v>#DIV/0!</v>
      </c>
      <c r="Z26" s="40" t="e">
        <f t="shared" si="4"/>
        <v>#DIV/0!</v>
      </c>
    </row>
    <row r="27" spans="1:26">
      <c r="A27" s="27" t="str">
        <f>Jar_Information!B12</f>
        <v>Peat-5-10-60</v>
      </c>
      <c r="B27" s="73">
        <f t="shared" si="5"/>
        <v>45459.604166666664</v>
      </c>
      <c r="C27" s="3"/>
      <c r="D27" s="3">
        <v>2864.4</v>
      </c>
      <c r="E27" s="3">
        <v>630.19000000000005</v>
      </c>
      <c r="F27" s="7" t="e">
        <f t="shared" si="6"/>
        <v>#DIV/0!</v>
      </c>
      <c r="G27" s="7" t="e">
        <f t="shared" si="7"/>
        <v>#DIV/0!</v>
      </c>
      <c r="H27" s="72">
        <v>0.60416666666666663</v>
      </c>
      <c r="I27" s="69" t="str">
        <f>Jar_Information!M12</f>
        <v>16/05/24 15:09</v>
      </c>
      <c r="J27" s="6">
        <f t="shared" si="1"/>
        <v>2944.9729166666657</v>
      </c>
      <c r="K27" s="31">
        <f t="shared" si="8"/>
        <v>70679.349999999977</v>
      </c>
      <c r="L27" s="89">
        <v>587</v>
      </c>
      <c r="M27" s="31" t="e">
        <f t="shared" si="9"/>
        <v>#DIV/0!</v>
      </c>
      <c r="N27" s="31" t="e">
        <f t="shared" si="10"/>
        <v>#DIV/0!</v>
      </c>
      <c r="O27" s="33" t="e">
        <f t="shared" si="2"/>
        <v>#DIV/0!</v>
      </c>
      <c r="P27" s="34" t="e">
        <f t="shared" si="11"/>
        <v>#DIV/0!</v>
      </c>
      <c r="Q27" s="35"/>
      <c r="R27" s="35">
        <f t="shared" si="12"/>
        <v>0</v>
      </c>
      <c r="S27" s="35" t="e">
        <f t="shared" si="13"/>
        <v>#DIV/0!</v>
      </c>
      <c r="T27" s="36" t="e">
        <f t="shared" si="14"/>
        <v>#DIV/0!</v>
      </c>
      <c r="U27" s="37" t="e">
        <f t="shared" si="15"/>
        <v>#DIV/0!</v>
      </c>
      <c r="V27" s="38" t="e">
        <f t="shared" si="16"/>
        <v>#DIV/0!</v>
      </c>
      <c r="W27" s="39" t="e">
        <f t="shared" si="17"/>
        <v>#DIV/0!</v>
      </c>
      <c r="X27" s="39" t="e">
        <f t="shared" si="18"/>
        <v>#DIV/0!</v>
      </c>
      <c r="Y27" s="40" t="e">
        <f t="shared" si="3"/>
        <v>#DIV/0!</v>
      </c>
      <c r="Z27" s="40" t="e">
        <f t="shared" si="4"/>
        <v>#DIV/0!</v>
      </c>
    </row>
    <row r="28" spans="1:26">
      <c r="A28" s="27" t="str">
        <f>Jar_Information!B13</f>
        <v>TT-Blank-10</v>
      </c>
      <c r="B28" s="73">
        <f t="shared" si="5"/>
        <v>45459.604166666664</v>
      </c>
      <c r="C28" s="3"/>
      <c r="D28" s="3">
        <v>1567.7</v>
      </c>
      <c r="E28" s="3">
        <v>331.34</v>
      </c>
      <c r="F28" s="7" t="e">
        <f t="shared" si="6"/>
        <v>#DIV/0!</v>
      </c>
      <c r="G28" s="7" t="e">
        <f t="shared" si="7"/>
        <v>#DIV/0!</v>
      </c>
      <c r="H28" s="72">
        <v>0.60416666666666663</v>
      </c>
      <c r="I28" s="69" t="str">
        <f>Jar_Information!M13</f>
        <v>16/05/24 15:10</v>
      </c>
      <c r="J28" s="6">
        <f t="shared" si="1"/>
        <v>2944.972222222219</v>
      </c>
      <c r="K28" s="31">
        <f t="shared" si="8"/>
        <v>70679.333333333256</v>
      </c>
      <c r="L28" s="89">
        <v>587</v>
      </c>
      <c r="M28" s="31" t="e">
        <f t="shared" si="9"/>
        <v>#DIV/0!</v>
      </c>
      <c r="N28" s="31" t="e">
        <f t="shared" si="10"/>
        <v>#DIV/0!</v>
      </c>
      <c r="O28" s="33" t="e">
        <f t="shared" si="2"/>
        <v>#DIV/0!</v>
      </c>
      <c r="P28" s="34" t="e">
        <f t="shared" si="11"/>
        <v>#DIV/0!</v>
      </c>
      <c r="Q28" s="35"/>
      <c r="R28" s="35">
        <f t="shared" si="12"/>
        <v>0</v>
      </c>
      <c r="S28" s="35" t="e">
        <f t="shared" si="13"/>
        <v>#DIV/0!</v>
      </c>
      <c r="T28" s="36" t="e">
        <f t="shared" si="14"/>
        <v>#DIV/0!</v>
      </c>
      <c r="U28" s="37" t="e">
        <f t="shared" si="15"/>
        <v>#DIV/0!</v>
      </c>
      <c r="V28" s="38" t="e">
        <f t="shared" si="16"/>
        <v>#DIV/0!</v>
      </c>
      <c r="W28" s="39" t="e">
        <f t="shared" si="17"/>
        <v>#DIV/0!</v>
      </c>
      <c r="X28" s="39" t="e">
        <f t="shared" si="18"/>
        <v>#DIV/0!</v>
      </c>
      <c r="Y28" s="40" t="e">
        <f t="shared" si="3"/>
        <v>#DIV/0!</v>
      </c>
      <c r="Z28" s="40" t="e">
        <f t="shared" si="4"/>
        <v>#DIV/0!</v>
      </c>
    </row>
    <row r="29" spans="1:26">
      <c r="A29" s="27" t="str">
        <f>Jar_Information!B14</f>
        <v>Peat-1-5-95</v>
      </c>
      <c r="B29" s="75">
        <f>$B$3+H29</f>
        <v>45459.645833333336</v>
      </c>
      <c r="C29" s="3">
        <v>5</v>
      </c>
      <c r="D29" s="3">
        <v>3471</v>
      </c>
      <c r="E29" s="3">
        <v>608.14</v>
      </c>
      <c r="F29" s="7">
        <f t="shared" si="6"/>
        <v>5.6488914396397982E-3</v>
      </c>
      <c r="G29" s="7">
        <f t="shared" si="7"/>
        <v>4.9661730607877463E-3</v>
      </c>
      <c r="H29" s="72">
        <v>0.64583333333333337</v>
      </c>
      <c r="I29" s="69" t="str">
        <f>Jar_Information!M14</f>
        <v>16/05/24 15:11</v>
      </c>
      <c r="J29" s="6">
        <f t="shared" si="1"/>
        <v>2945.0131944444438</v>
      </c>
      <c r="K29" s="31">
        <f t="shared" si="8"/>
        <v>70680.316666666651</v>
      </c>
      <c r="L29" s="89">
        <v>587</v>
      </c>
      <c r="M29" s="31">
        <f t="shared" si="9"/>
        <v>3.3158992750685616</v>
      </c>
      <c r="N29" s="31">
        <f t="shared" si="10"/>
        <v>6.0680956733754678</v>
      </c>
      <c r="O29" s="33">
        <f t="shared" si="2"/>
        <v>1.6549351836478547</v>
      </c>
      <c r="P29" s="34">
        <f t="shared" si="11"/>
        <v>0.67069308354522983</v>
      </c>
      <c r="Q29" s="35"/>
      <c r="R29" s="35">
        <f t="shared" si="12"/>
        <v>0</v>
      </c>
      <c r="S29" s="35">
        <f t="shared" si="13"/>
        <v>0</v>
      </c>
      <c r="T29" s="36">
        <f t="shared" si="14"/>
        <v>5648.8914396397986</v>
      </c>
      <c r="U29" s="37">
        <f t="shared" si="15"/>
        <v>0.56488914396397982</v>
      </c>
      <c r="V29" s="38">
        <f t="shared" si="16"/>
        <v>2.3414371379413106E-5</v>
      </c>
      <c r="W29" s="39">
        <f t="shared" si="17"/>
        <v>2.8097245655295728E-3</v>
      </c>
      <c r="X29" s="39">
        <f t="shared" si="18"/>
        <v>1.4048622827647864E-2</v>
      </c>
      <c r="Y29" s="40">
        <f t="shared" si="3"/>
        <v>1.1386928330413668E-3</v>
      </c>
      <c r="Z29" s="40">
        <f t="shared" si="4"/>
        <v>5.693464165206834E-3</v>
      </c>
    </row>
    <row r="30" spans="1:26">
      <c r="A30" s="27" t="str">
        <f>Jar_Information!B15</f>
        <v>Peat-2-5-95</v>
      </c>
      <c r="B30" s="75">
        <f t="shared" si="5"/>
        <v>45459.645833333336</v>
      </c>
      <c r="C30" s="3">
        <v>5</v>
      </c>
      <c r="D30" s="3">
        <v>3642.4</v>
      </c>
      <c r="E30" s="3">
        <v>630.65</v>
      </c>
      <c r="F30" s="7">
        <f t="shared" si="6"/>
        <v>5.9329328745884894E-3</v>
      </c>
      <c r="G30" s="7">
        <f t="shared" si="7"/>
        <v>5.156230016264314E-3</v>
      </c>
      <c r="H30" s="72">
        <v>0.64583333333333337</v>
      </c>
      <c r="I30" s="69" t="str">
        <f>Jar_Information!M15</f>
        <v>16/05/24 15:12</v>
      </c>
      <c r="J30" s="6">
        <f t="shared" si="1"/>
        <v>2945.0125000000044</v>
      </c>
      <c r="K30" s="31">
        <f t="shared" si="8"/>
        <v>70680.300000000105</v>
      </c>
      <c r="L30" s="89">
        <v>587</v>
      </c>
      <c r="M30" s="31">
        <f t="shared" si="9"/>
        <v>3.4826315973834432</v>
      </c>
      <c r="N30" s="31">
        <f t="shared" si="10"/>
        <v>6.3732158232117015</v>
      </c>
      <c r="O30" s="33">
        <f t="shared" si="2"/>
        <v>1.7381497699668276</v>
      </c>
      <c r="P30" s="34">
        <f t="shared" si="11"/>
        <v>0.70441733331988954</v>
      </c>
      <c r="Q30" s="35"/>
      <c r="R30" s="35">
        <f t="shared" si="12"/>
        <v>0</v>
      </c>
      <c r="S30" s="35">
        <f t="shared" si="13"/>
        <v>0</v>
      </c>
      <c r="T30" s="36">
        <f t="shared" si="14"/>
        <v>5932.9328745884895</v>
      </c>
      <c r="U30" s="37">
        <f t="shared" si="15"/>
        <v>0.59329328745884891</v>
      </c>
      <c r="V30" s="38">
        <f t="shared" si="16"/>
        <v>2.4591714664012816E-5</v>
      </c>
      <c r="W30" s="39">
        <f t="shared" si="17"/>
        <v>2.9510057596815378E-3</v>
      </c>
      <c r="X30" s="39">
        <f t="shared" si="18"/>
        <v>1.4755028798407689E-2</v>
      </c>
      <c r="Y30" s="40">
        <f t="shared" si="3"/>
        <v>1.1959496493136931E-3</v>
      </c>
      <c r="Z30" s="40">
        <f t="shared" si="4"/>
        <v>5.9797482465684653E-3</v>
      </c>
    </row>
    <row r="31" spans="1:26">
      <c r="A31" s="27" t="str">
        <f>Jar_Information!B16</f>
        <v>Peat-3-5-95</v>
      </c>
      <c r="B31" s="75">
        <f t="shared" si="5"/>
        <v>45459.645833333336</v>
      </c>
      <c r="C31" s="3">
        <v>4</v>
      </c>
      <c r="D31" s="3">
        <v>2666.2</v>
      </c>
      <c r="E31" s="3">
        <v>567.36</v>
      </c>
      <c r="F31" s="7">
        <f t="shared" si="6"/>
        <v>5.3939866241799464E-3</v>
      </c>
      <c r="G31" s="7">
        <f t="shared" si="7"/>
        <v>5.7773230205462964E-3</v>
      </c>
      <c r="H31" s="72">
        <v>0.64583333333333337</v>
      </c>
      <c r="I31" s="69" t="str">
        <f>Jar_Information!M16</f>
        <v>16/05/24 15:13</v>
      </c>
      <c r="J31" s="6">
        <f t="shared" si="1"/>
        <v>2945.0118055555577</v>
      </c>
      <c r="K31" s="31">
        <f t="shared" si="8"/>
        <v>70680.283333333384</v>
      </c>
      <c r="L31" s="89">
        <v>587</v>
      </c>
      <c r="M31" s="31">
        <f t="shared" si="9"/>
        <v>3.1662701483936284</v>
      </c>
      <c r="N31" s="31">
        <f t="shared" si="10"/>
        <v>5.7942743715603404</v>
      </c>
      <c r="O31" s="33">
        <f t="shared" si="2"/>
        <v>1.5802566467891836</v>
      </c>
      <c r="P31" s="34">
        <f t="shared" si="11"/>
        <v>0.64042822564911184</v>
      </c>
      <c r="Q31" s="35"/>
      <c r="R31" s="35">
        <f t="shared" si="12"/>
        <v>0</v>
      </c>
      <c r="S31" s="35">
        <f t="shared" si="13"/>
        <v>0</v>
      </c>
      <c r="T31" s="36">
        <f t="shared" si="14"/>
        <v>5393.9866241799464</v>
      </c>
      <c r="U31" s="37">
        <f t="shared" si="15"/>
        <v>0.53939866241799461</v>
      </c>
      <c r="V31" s="38">
        <f t="shared" si="16"/>
        <v>2.2357814262523225E-5</v>
      </c>
      <c r="W31" s="39">
        <f t="shared" si="17"/>
        <v>2.6829377115027871E-3</v>
      </c>
      <c r="X31" s="39">
        <f t="shared" si="18"/>
        <v>1.3414688557513934E-2</v>
      </c>
      <c r="Y31" s="40">
        <f t="shared" si="3"/>
        <v>1.0873101161105519E-3</v>
      </c>
      <c r="Z31" s="40">
        <f t="shared" si="4"/>
        <v>5.4365505805527587E-3</v>
      </c>
    </row>
    <row r="32" spans="1:26">
      <c r="A32" s="27" t="str">
        <f>Jar_Information!B17</f>
        <v>Peat-4-5-95</v>
      </c>
      <c r="B32" s="75">
        <f t="shared" si="5"/>
        <v>45459.645833333336</v>
      </c>
      <c r="C32" s="3">
        <v>4</v>
      </c>
      <c r="D32" s="3">
        <v>2691.2</v>
      </c>
      <c r="E32" s="3">
        <v>577.28</v>
      </c>
      <c r="F32" s="7">
        <f t="shared" si="6"/>
        <v>5.4457736419287603E-3</v>
      </c>
      <c r="G32" s="7">
        <f t="shared" si="7"/>
        <v>5.8820189889118874E-3</v>
      </c>
      <c r="H32" s="72">
        <v>0.64583333333333337</v>
      </c>
      <c r="I32" s="69" t="str">
        <f>Jar_Information!M17</f>
        <v>16/05/24 15:14</v>
      </c>
      <c r="J32" s="6">
        <f t="shared" si="1"/>
        <v>2945.0111111111109</v>
      </c>
      <c r="K32" s="31">
        <f t="shared" si="8"/>
        <v>70680.266666666663</v>
      </c>
      <c r="L32" s="89">
        <v>587</v>
      </c>
      <c r="M32" s="31">
        <f t="shared" si="9"/>
        <v>3.1966691278121822</v>
      </c>
      <c r="N32" s="31">
        <f t="shared" si="10"/>
        <v>5.8499045038962931</v>
      </c>
      <c r="O32" s="33">
        <f t="shared" si="2"/>
        <v>1.5954285010626252</v>
      </c>
      <c r="P32" s="34">
        <f t="shared" si="11"/>
        <v>0.64657690012669711</v>
      </c>
      <c r="Q32" s="35"/>
      <c r="R32" s="35">
        <f t="shared" si="12"/>
        <v>0</v>
      </c>
      <c r="S32" s="35">
        <f t="shared" si="13"/>
        <v>0</v>
      </c>
      <c r="T32" s="36">
        <f t="shared" si="14"/>
        <v>5445.7736419287603</v>
      </c>
      <c r="U32" s="37">
        <f t="shared" si="15"/>
        <v>0.54457736419287606</v>
      </c>
      <c r="V32" s="38">
        <f t="shared" si="16"/>
        <v>2.2572474274705036E-5</v>
      </c>
      <c r="W32" s="39">
        <f t="shared" si="17"/>
        <v>2.7086969129646041E-3</v>
      </c>
      <c r="X32" s="39">
        <f t="shared" si="18"/>
        <v>1.3543484564823021E-2</v>
      </c>
      <c r="Y32" s="40">
        <f t="shared" si="3"/>
        <v>1.0977495088002449E-3</v>
      </c>
      <c r="Z32" s="40">
        <f t="shared" si="4"/>
        <v>5.4887475440012238E-3</v>
      </c>
    </row>
    <row r="33" spans="1:26">
      <c r="A33" s="27" t="str">
        <f>Jar_Information!B18</f>
        <v>Peat-5-5-95</v>
      </c>
      <c r="B33" s="75">
        <f t="shared" si="5"/>
        <v>45459.645833333336</v>
      </c>
      <c r="C33" s="3">
        <v>4</v>
      </c>
      <c r="D33" s="3">
        <v>2864.1</v>
      </c>
      <c r="E33" s="3">
        <v>584.16999999999996</v>
      </c>
      <c r="F33" s="7">
        <f t="shared" si="6"/>
        <v>5.803932656679554E-3</v>
      </c>
      <c r="G33" s="7">
        <f t="shared" si="7"/>
        <v>5.954736249198068E-3</v>
      </c>
      <c r="H33" s="72">
        <v>0.64583333333333337</v>
      </c>
      <c r="I33" s="69" t="str">
        <f>Jar_Information!M18</f>
        <v>16/05/24 15:15</v>
      </c>
      <c r="J33" s="6">
        <f t="shared" si="1"/>
        <v>2945.0104166666715</v>
      </c>
      <c r="K33" s="31">
        <f t="shared" si="8"/>
        <v>70680.250000000116</v>
      </c>
      <c r="L33" s="89">
        <v>587</v>
      </c>
      <c r="M33" s="31">
        <f t="shared" si="9"/>
        <v>3.4069084694708982</v>
      </c>
      <c r="N33" s="31">
        <f t="shared" si="10"/>
        <v>6.234642499131744</v>
      </c>
      <c r="O33" s="33">
        <f t="shared" si="2"/>
        <v>1.7003570452177483</v>
      </c>
      <c r="P33" s="34">
        <f t="shared" si="11"/>
        <v>0.68910113281367713</v>
      </c>
      <c r="Q33" s="35"/>
      <c r="R33" s="35">
        <f t="shared" si="12"/>
        <v>0</v>
      </c>
      <c r="S33" s="35">
        <f t="shared" si="13"/>
        <v>0</v>
      </c>
      <c r="T33" s="36">
        <f t="shared" si="14"/>
        <v>5803.9326566795544</v>
      </c>
      <c r="U33" s="37">
        <f t="shared" si="15"/>
        <v>0.58039326566795535</v>
      </c>
      <c r="V33" s="38">
        <f t="shared" si="16"/>
        <v>2.4057032130160061E-5</v>
      </c>
      <c r="W33" s="39">
        <f t="shared" si="17"/>
        <v>2.886843855619207E-3</v>
      </c>
      <c r="X33" s="39">
        <f t="shared" si="18"/>
        <v>1.4434219278096036E-2</v>
      </c>
      <c r="Y33" s="40">
        <f t="shared" si="3"/>
        <v>1.1699468513147748E-3</v>
      </c>
      <c r="Z33" s="40">
        <f t="shared" si="4"/>
        <v>5.8497342565738747E-3</v>
      </c>
    </row>
    <row r="34" spans="1:26">
      <c r="A34" s="27" t="str">
        <f>Jar_Information!B19</f>
        <v>Peat-1-5-60</v>
      </c>
      <c r="B34" s="75">
        <f t="shared" si="5"/>
        <v>45459.645833333336</v>
      </c>
      <c r="C34" s="3">
        <v>4</v>
      </c>
      <c r="D34" s="3">
        <v>1931.8</v>
      </c>
      <c r="E34" s="3">
        <v>406.25</v>
      </c>
      <c r="F34" s="7">
        <f t="shared" si="6"/>
        <v>3.8726911907908052E-3</v>
      </c>
      <c r="G34" s="7">
        <f t="shared" si="7"/>
        <v>4.0769633972216664E-3</v>
      </c>
      <c r="H34" s="72">
        <v>0.64583333333333337</v>
      </c>
      <c r="I34" s="69" t="str">
        <f>Jar_Information!M19</f>
        <v>16/05/24 15:16</v>
      </c>
      <c r="J34" s="6">
        <f t="shared" si="1"/>
        <v>2945.0097222222248</v>
      </c>
      <c r="K34" s="31">
        <f t="shared" si="8"/>
        <v>70680.233333333395</v>
      </c>
      <c r="L34" s="89">
        <v>587</v>
      </c>
      <c r="M34" s="31">
        <f t="shared" si="9"/>
        <v>2.2732697289942028</v>
      </c>
      <c r="N34" s="31">
        <f t="shared" si="10"/>
        <v>4.1600836040593911</v>
      </c>
      <c r="O34" s="33">
        <f t="shared" si="2"/>
        <v>1.1345682556525611</v>
      </c>
      <c r="P34" s="34">
        <f t="shared" si="11"/>
        <v>0.45980476419556682</v>
      </c>
      <c r="Q34" s="35"/>
      <c r="R34" s="35">
        <f t="shared" si="12"/>
        <v>0</v>
      </c>
      <c r="S34" s="35">
        <f t="shared" si="13"/>
        <v>0</v>
      </c>
      <c r="T34" s="36">
        <f t="shared" si="14"/>
        <v>3872.6911907908052</v>
      </c>
      <c r="U34" s="37">
        <f t="shared" si="15"/>
        <v>0.38726911907908051</v>
      </c>
      <c r="V34" s="38">
        <f t="shared" si="16"/>
        <v>1.6052129458908977E-5</v>
      </c>
      <c r="W34" s="39">
        <f t="shared" si="17"/>
        <v>1.9262555350690771E-3</v>
      </c>
      <c r="X34" s="39">
        <f t="shared" si="18"/>
        <v>9.6312776753453861E-3</v>
      </c>
      <c r="Y34" s="40">
        <f t="shared" si="3"/>
        <v>7.8065067277368878E-4</v>
      </c>
      <c r="Z34" s="40">
        <f t="shared" si="4"/>
        <v>3.9032533638684442E-3</v>
      </c>
    </row>
    <row r="35" spans="1:26">
      <c r="A35" s="27" t="str">
        <f>Jar_Information!B20</f>
        <v>Peat-2-5-60</v>
      </c>
      <c r="B35" s="75">
        <f t="shared" si="5"/>
        <v>45459.645833333336</v>
      </c>
      <c r="C35" s="3">
        <v>5</v>
      </c>
      <c r="D35" s="16">
        <v>2315</v>
      </c>
      <c r="E35" s="16">
        <v>441.44</v>
      </c>
      <c r="F35" s="7">
        <f t="shared" si="6"/>
        <v>3.7331860790756934E-3</v>
      </c>
      <c r="G35" s="7">
        <f t="shared" si="7"/>
        <v>3.5586877441309735E-3</v>
      </c>
      <c r="H35" s="72">
        <v>0.64583333333333337</v>
      </c>
      <c r="I35" s="69" t="str">
        <f>Jar_Information!M20</f>
        <v>16/05/24 15:17</v>
      </c>
      <c r="J35" s="6">
        <f t="shared" si="1"/>
        <v>2945.0090277777781</v>
      </c>
      <c r="K35" s="31">
        <f t="shared" si="8"/>
        <v>70680.216666666674</v>
      </c>
      <c r="L35" s="89">
        <v>587</v>
      </c>
      <c r="M35" s="31">
        <f t="shared" si="9"/>
        <v>2.1913802284174322</v>
      </c>
      <c r="N35" s="31">
        <f t="shared" si="10"/>
        <v>4.0102258180039012</v>
      </c>
      <c r="O35" s="33">
        <f t="shared" si="2"/>
        <v>1.0936979503647002</v>
      </c>
      <c r="P35" s="34">
        <f t="shared" si="11"/>
        <v>0.44324131727039517</v>
      </c>
      <c r="R35" s="35">
        <f t="shared" si="12"/>
        <v>0</v>
      </c>
      <c r="S35" s="35">
        <f t="shared" si="13"/>
        <v>0</v>
      </c>
      <c r="T35" s="36">
        <f t="shared" si="14"/>
        <v>3733.1860790756932</v>
      </c>
      <c r="U35" s="37">
        <f t="shared" si="15"/>
        <v>0.37331860790756938</v>
      </c>
      <c r="V35" s="38">
        <f t="shared" si="16"/>
        <v>1.547389074261987E-5</v>
      </c>
      <c r="W35" s="39">
        <f t="shared" si="17"/>
        <v>1.8568668891143843E-3</v>
      </c>
      <c r="X35" s="39">
        <f t="shared" si="18"/>
        <v>9.2843344455719214E-3</v>
      </c>
      <c r="Y35" s="40">
        <f t="shared" si="3"/>
        <v>7.525296409784739E-4</v>
      </c>
      <c r="Z35" s="40">
        <f t="shared" si="4"/>
        <v>3.7626482048923691E-3</v>
      </c>
    </row>
    <row r="36" spans="1:26">
      <c r="A36" s="27" t="str">
        <f>Jar_Information!B21</f>
        <v>Peat-3-5-60</v>
      </c>
      <c r="B36" s="75">
        <f t="shared" si="5"/>
        <v>45459.645833333336</v>
      </c>
      <c r="C36" s="3">
        <v>4</v>
      </c>
      <c r="D36" s="16">
        <v>1924.1</v>
      </c>
      <c r="E36" s="16">
        <v>376.76</v>
      </c>
      <c r="F36" s="7">
        <f t="shared" si="6"/>
        <v>3.8567407893241707E-3</v>
      </c>
      <c r="G36" s="7">
        <f t="shared" si="7"/>
        <v>3.7657250799735548E-3</v>
      </c>
      <c r="H36" s="72">
        <v>0.64583333333333337</v>
      </c>
      <c r="I36" s="69" t="str">
        <f>Jar_Information!M21</f>
        <v>16/05/24 15:18</v>
      </c>
      <c r="J36" s="6">
        <f t="shared" si="1"/>
        <v>2945.0083333333387</v>
      </c>
      <c r="K36" s="31">
        <f t="shared" si="8"/>
        <v>70680.200000000128</v>
      </c>
      <c r="L36" s="89">
        <v>587</v>
      </c>
      <c r="M36" s="31">
        <f t="shared" si="9"/>
        <v>2.2639068433332881</v>
      </c>
      <c r="N36" s="31">
        <f t="shared" si="10"/>
        <v>4.1429495232999169</v>
      </c>
      <c r="O36" s="33">
        <f t="shared" si="2"/>
        <v>1.129895324536341</v>
      </c>
      <c r="P36" s="34">
        <f t="shared" si="11"/>
        <v>0.4579109724564705</v>
      </c>
      <c r="R36" s="35">
        <f t="shared" si="12"/>
        <v>0</v>
      </c>
      <c r="S36" s="35">
        <f t="shared" si="13"/>
        <v>0</v>
      </c>
      <c r="T36" s="36">
        <f t="shared" si="14"/>
        <v>3856.7407893241707</v>
      </c>
      <c r="U36" s="37">
        <f t="shared" si="15"/>
        <v>0.38567407893241701</v>
      </c>
      <c r="V36" s="38">
        <f t="shared" si="16"/>
        <v>1.5986023306899795E-5</v>
      </c>
      <c r="W36" s="39">
        <f t="shared" si="17"/>
        <v>1.9183227968279756E-3</v>
      </c>
      <c r="X36" s="39">
        <f t="shared" si="18"/>
        <v>9.5916139841398778E-3</v>
      </c>
      <c r="Y36" s="40">
        <f t="shared" si="3"/>
        <v>7.7743578392217851E-4</v>
      </c>
      <c r="Z36" s="40">
        <f t="shared" si="4"/>
        <v>3.8871789196108925E-3</v>
      </c>
    </row>
    <row r="37" spans="1:26">
      <c r="A37" s="27" t="str">
        <f>Jar_Information!B22</f>
        <v>Peat-4-5-60</v>
      </c>
      <c r="B37" s="75">
        <f t="shared" si="5"/>
        <v>45459.645833333336</v>
      </c>
      <c r="C37" s="3">
        <v>4</v>
      </c>
      <c r="D37" s="16">
        <v>2005</v>
      </c>
      <c r="E37" s="16">
        <v>434.2</v>
      </c>
      <c r="F37" s="7">
        <f t="shared" si="6"/>
        <v>4.0243235787593302E-3</v>
      </c>
      <c r="G37" s="7">
        <f t="shared" si="7"/>
        <v>4.371948509703346E-3</v>
      </c>
      <c r="H37" s="72">
        <v>0.64583333333333337</v>
      </c>
      <c r="I37" s="69" t="str">
        <f>Jar_Information!M22</f>
        <v>16/05/24 15:19</v>
      </c>
      <c r="J37" s="6">
        <f t="shared" si="1"/>
        <v>2945.007638888892</v>
      </c>
      <c r="K37" s="31">
        <f t="shared" si="8"/>
        <v>70680.183333333407</v>
      </c>
      <c r="L37" s="89">
        <v>587</v>
      </c>
      <c r="M37" s="31">
        <f t="shared" si="9"/>
        <v>2.3622779407317269</v>
      </c>
      <c r="N37" s="31">
        <f t="shared" si="10"/>
        <v>4.3229686315390605</v>
      </c>
      <c r="O37" s="33">
        <f t="shared" si="2"/>
        <v>1.1789914449651981</v>
      </c>
      <c r="P37" s="34">
        <f t="shared" si="11"/>
        <v>0.47780808306593642</v>
      </c>
      <c r="R37" s="35">
        <f t="shared" si="12"/>
        <v>0</v>
      </c>
      <c r="S37" s="35">
        <f t="shared" si="13"/>
        <v>0</v>
      </c>
      <c r="T37" s="36">
        <f t="shared" si="14"/>
        <v>4024.3235787593303</v>
      </c>
      <c r="U37" s="37">
        <f t="shared" si="15"/>
        <v>0.40243235787593301</v>
      </c>
      <c r="V37" s="38">
        <f t="shared" si="16"/>
        <v>1.6680650634492273E-5</v>
      </c>
      <c r="W37" s="39">
        <f t="shared" si="17"/>
        <v>2.0016780761390731E-3</v>
      </c>
      <c r="X37" s="39">
        <f t="shared" si="18"/>
        <v>1.0008390380695365E-2</v>
      </c>
      <c r="Y37" s="40">
        <f t="shared" si="3"/>
        <v>8.1121705213336298E-4</v>
      </c>
      <c r="Z37" s="40">
        <f t="shared" si="4"/>
        <v>4.0560852606668146E-3</v>
      </c>
    </row>
    <row r="38" spans="1:26">
      <c r="A38" s="27" t="str">
        <f>Jar_Information!B23</f>
        <v>Peat-5-5-60</v>
      </c>
      <c r="B38" s="75">
        <f t="shared" si="5"/>
        <v>45459.645833333336</v>
      </c>
      <c r="C38" s="3">
        <v>4</v>
      </c>
      <c r="D38" s="16">
        <v>1852.9</v>
      </c>
      <c r="E38" s="16">
        <v>401.41</v>
      </c>
      <c r="F38" s="7">
        <f t="shared" si="6"/>
        <v>3.7092513627755503E-3</v>
      </c>
      <c r="G38" s="7">
        <f t="shared" si="7"/>
        <v>4.0258818965271653E-3</v>
      </c>
      <c r="H38" s="72">
        <v>0.64583333333333337</v>
      </c>
      <c r="I38" s="69" t="str">
        <f>Jar_Information!M23</f>
        <v>16/05/24 15:20</v>
      </c>
      <c r="J38" s="6">
        <f t="shared" si="1"/>
        <v>2945.0069444444453</v>
      </c>
      <c r="K38" s="31">
        <f t="shared" si="8"/>
        <v>70680.166666666686</v>
      </c>
      <c r="L38" s="89">
        <v>587</v>
      </c>
      <c r="M38" s="31">
        <f t="shared" si="9"/>
        <v>2.1773305499492479</v>
      </c>
      <c r="N38" s="31">
        <f t="shared" si="10"/>
        <v>3.9845149064071239</v>
      </c>
      <c r="O38" s="33">
        <f t="shared" si="2"/>
        <v>1.0866858835655793</v>
      </c>
      <c r="P38" s="34">
        <f t="shared" si="11"/>
        <v>0.44039954754430771</v>
      </c>
      <c r="R38" s="35">
        <f t="shared" si="12"/>
        <v>0</v>
      </c>
      <c r="S38" s="35">
        <f t="shared" si="13"/>
        <v>0</v>
      </c>
      <c r="T38" s="36">
        <f t="shared" si="14"/>
        <v>3709.2513627755502</v>
      </c>
      <c r="U38" s="37">
        <f t="shared" si="15"/>
        <v>0.37092513627755502</v>
      </c>
      <c r="V38" s="38">
        <f t="shared" si="16"/>
        <v>1.5374693281220977E-5</v>
      </c>
      <c r="W38" s="39">
        <f t="shared" si="17"/>
        <v>1.8449631937465173E-3</v>
      </c>
      <c r="X38" s="39">
        <f t="shared" si="18"/>
        <v>9.2248159687325863E-3</v>
      </c>
      <c r="Y38" s="40">
        <f t="shared" si="3"/>
        <v>7.4770544832685598E-4</v>
      </c>
      <c r="Z38" s="40">
        <f t="shared" si="4"/>
        <v>3.73852724163428E-3</v>
      </c>
    </row>
    <row r="39" spans="1:26">
      <c r="A39" s="27" t="str">
        <f>Jar_Information!B24</f>
        <v>Peat-Blank-5</v>
      </c>
      <c r="B39" s="75">
        <f t="shared" si="5"/>
        <v>45459.645833333336</v>
      </c>
      <c r="C39" s="3">
        <v>5</v>
      </c>
      <c r="D39" s="16">
        <v>1865.1</v>
      </c>
      <c r="E39" s="16">
        <v>374.47</v>
      </c>
      <c r="F39" s="7">
        <f t="shared" si="6"/>
        <v>2.9876187419495765E-3</v>
      </c>
      <c r="G39" s="7">
        <f t="shared" si="7"/>
        <v>2.9932450827242314E-3</v>
      </c>
      <c r="H39" s="72">
        <v>0.64583333333333337</v>
      </c>
      <c r="I39" s="69" t="str">
        <f>Jar_Information!M24</f>
        <v>16/05/24 15:21</v>
      </c>
      <c r="J39" s="6">
        <f t="shared" si="1"/>
        <v>2945.0062500000058</v>
      </c>
      <c r="K39" s="31">
        <f t="shared" si="8"/>
        <v>70680.15000000014</v>
      </c>
      <c r="L39" s="89">
        <v>587</v>
      </c>
      <c r="M39" s="31">
        <f t="shared" si="9"/>
        <v>1.7537322015244015</v>
      </c>
      <c r="N39" s="31">
        <f t="shared" si="10"/>
        <v>3.2093299287896548</v>
      </c>
      <c r="O39" s="33">
        <f t="shared" si="2"/>
        <v>0.87527179876081485</v>
      </c>
      <c r="P39" s="34">
        <f t="shared" si="11"/>
        <v>0.35472008055149534</v>
      </c>
      <c r="R39" s="35">
        <f t="shared" si="12"/>
        <v>0</v>
      </c>
      <c r="S39" s="35">
        <f t="shared" si="13"/>
        <v>0</v>
      </c>
      <c r="T39" s="36">
        <f t="shared" si="14"/>
        <v>2987.6187419495764</v>
      </c>
      <c r="U39" s="37">
        <f t="shared" si="15"/>
        <v>0.29876187419495764</v>
      </c>
      <c r="V39" s="38">
        <f t="shared" si="16"/>
        <v>1.2383558874179145E-5</v>
      </c>
      <c r="W39" s="39">
        <f t="shared" si="17"/>
        <v>1.4860270649014974E-3</v>
      </c>
      <c r="X39" s="39">
        <f t="shared" si="18"/>
        <v>7.4301353245074869E-3</v>
      </c>
      <c r="Y39" s="40">
        <f t="shared" si="3"/>
        <v>6.0223994524883381E-4</v>
      </c>
      <c r="Z39" s="40">
        <f t="shared" si="4"/>
        <v>3.011199726244169E-3</v>
      </c>
    </row>
    <row r="40" spans="1:26">
      <c r="A40" s="27"/>
      <c r="B40" s="28"/>
      <c r="C40" s="3"/>
      <c r="D40" s="16"/>
      <c r="E40" s="16"/>
      <c r="F40" s="7"/>
      <c r="G40" s="7"/>
      <c r="H40" s="29"/>
      <c r="I40" s="30"/>
      <c r="J40" s="6"/>
      <c r="K40" s="31"/>
      <c r="L40" s="32"/>
      <c r="M40" s="31"/>
      <c r="N40" s="31"/>
      <c r="O40" s="33"/>
      <c r="P40" s="34"/>
      <c r="R40" s="35"/>
      <c r="S40" s="35"/>
      <c r="T40" s="36"/>
      <c r="U40" s="37"/>
      <c r="V40" s="38"/>
      <c r="W40" s="39"/>
      <c r="X40" s="39"/>
      <c r="Y40" s="40"/>
      <c r="Z40" s="40"/>
    </row>
    <row r="41" spans="1:26">
      <c r="A41" s="27"/>
      <c r="B41" s="28"/>
      <c r="C41" s="3"/>
      <c r="D41" s="16"/>
      <c r="E41" s="16"/>
      <c r="F41" s="7"/>
      <c r="G41" s="7"/>
      <c r="H41" s="29"/>
      <c r="I41" s="30"/>
      <c r="J41" s="6"/>
      <c r="K41" s="31"/>
      <c r="L41" s="32"/>
      <c r="M41" s="31"/>
      <c r="N41" s="31"/>
      <c r="O41" s="33"/>
      <c r="P41" s="34"/>
      <c r="R41" s="35"/>
      <c r="S41" s="35"/>
      <c r="T41" s="36"/>
      <c r="U41" s="37"/>
      <c r="V41" s="38"/>
      <c r="W41" s="39"/>
      <c r="X41" s="39"/>
      <c r="Y41" s="40"/>
      <c r="Z41" s="40"/>
    </row>
    <row r="42" spans="1:26">
      <c r="A42" s="27"/>
    </row>
    <row r="43" spans="1:26">
      <c r="A43" s="27"/>
    </row>
  </sheetData>
  <mergeCells count="1">
    <mergeCell ref="W13:Z13"/>
  </mergeCells>
  <conditionalFormatting sqref="O18:O3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0CC4-3808-9443-BD8C-BF4DC38ED077}">
  <dimension ref="A1:Z43"/>
  <sheetViews>
    <sheetView topLeftCell="B8" zoomScale="120" zoomScaleNormal="120" workbookViewId="0">
      <selection activeCell="N18" sqref="N18:N28"/>
    </sheetView>
  </sheetViews>
  <sheetFormatPr defaultColWidth="11.5703125" defaultRowHeight="14.45"/>
  <cols>
    <col min="1" max="1" width="15.28515625" customWidth="1"/>
    <col min="2" max="2" width="19.7109375" bestFit="1" customWidth="1"/>
    <col min="9" max="9" width="15.140625" bestFit="1" customWidth="1"/>
    <col min="10" max="10" width="16.140625" style="80" customWidth="1"/>
  </cols>
  <sheetData>
    <row r="1" spans="1:26">
      <c r="A1" s="1" t="s">
        <v>79</v>
      </c>
      <c r="B1" s="2" t="s">
        <v>2</v>
      </c>
      <c r="C1" s="2" t="s">
        <v>80</v>
      </c>
      <c r="D1" s="2" t="s">
        <v>81</v>
      </c>
      <c r="E1" s="2" t="s">
        <v>82</v>
      </c>
      <c r="F1" s="2" t="s">
        <v>83</v>
      </c>
      <c r="G1" s="3"/>
      <c r="H1" s="3"/>
      <c r="I1" s="3"/>
      <c r="J1" s="77"/>
      <c r="K1" s="4"/>
      <c r="L1" s="4"/>
      <c r="M1" s="4"/>
      <c r="N1" s="4"/>
      <c r="O1" s="4"/>
      <c r="P1" s="4"/>
      <c r="Q1" s="4"/>
      <c r="R1" s="4"/>
      <c r="S1" s="4"/>
    </row>
    <row r="2" spans="1:26" ht="16.149999999999999">
      <c r="A2" s="5" t="s">
        <v>84</v>
      </c>
      <c r="B2" s="5" t="s">
        <v>85</v>
      </c>
      <c r="C2" s="5" t="s">
        <v>86</v>
      </c>
      <c r="D2" s="5" t="s">
        <v>87</v>
      </c>
      <c r="E2" s="5" t="s">
        <v>87</v>
      </c>
      <c r="F2" s="5" t="s">
        <v>88</v>
      </c>
      <c r="G2" s="5"/>
      <c r="H2" s="5"/>
      <c r="I2" s="5"/>
      <c r="J2" s="77"/>
      <c r="K2" s="4"/>
      <c r="L2" s="4"/>
      <c r="M2" s="4"/>
      <c r="N2" s="4"/>
      <c r="O2" s="4"/>
      <c r="P2" s="4"/>
      <c r="Q2" s="4"/>
      <c r="R2" s="4"/>
      <c r="S2" s="4"/>
    </row>
    <row r="3" spans="1:26">
      <c r="A3" s="3">
        <v>5</v>
      </c>
      <c r="B3" s="74">
        <v>44616</v>
      </c>
      <c r="C3" s="3">
        <v>2992</v>
      </c>
      <c r="D3" s="70">
        <v>1776.3</v>
      </c>
      <c r="E3" s="70">
        <v>317.2</v>
      </c>
      <c r="F3" s="7">
        <f>A3/1000*C3</f>
        <v>14.96</v>
      </c>
      <c r="G3" s="4"/>
      <c r="H3" s="4"/>
      <c r="I3" s="4"/>
      <c r="J3" s="77"/>
      <c r="K3" s="4"/>
      <c r="L3" s="4"/>
      <c r="M3" s="4"/>
      <c r="N3" s="4"/>
      <c r="O3" s="4"/>
      <c r="P3" s="4"/>
      <c r="Q3" s="4"/>
      <c r="R3" s="4"/>
      <c r="S3" s="4"/>
    </row>
    <row r="4" spans="1:26">
      <c r="A4" s="3">
        <v>4.4000000000000004</v>
      </c>
      <c r="B4" s="74">
        <v>44616</v>
      </c>
      <c r="C4" s="3">
        <v>2992</v>
      </c>
      <c r="D4" s="70">
        <v>1534.2</v>
      </c>
      <c r="E4" s="70">
        <v>318.8</v>
      </c>
      <c r="F4" s="7">
        <f t="shared" ref="F4:F15" si="0">A4/1000*C4</f>
        <v>13.164800000000001</v>
      </c>
      <c r="G4" s="4"/>
      <c r="H4" s="4"/>
      <c r="I4" s="4"/>
      <c r="J4" s="77"/>
      <c r="K4" s="4"/>
      <c r="L4" s="4"/>
      <c r="M4" s="4"/>
      <c r="N4" s="4"/>
      <c r="O4" s="4"/>
      <c r="P4" s="4"/>
      <c r="Q4" s="4"/>
      <c r="R4" s="4"/>
      <c r="S4" s="4"/>
    </row>
    <row r="5" spans="1:26">
      <c r="A5" s="3">
        <v>4</v>
      </c>
      <c r="B5" s="74">
        <v>44616</v>
      </c>
      <c r="C5" s="3">
        <v>2992</v>
      </c>
      <c r="D5" s="70">
        <v>1416.1</v>
      </c>
      <c r="E5" s="70">
        <v>287.01</v>
      </c>
      <c r="F5" s="7">
        <f t="shared" si="0"/>
        <v>11.968</v>
      </c>
      <c r="G5" s="3"/>
      <c r="H5" s="3"/>
      <c r="I5" s="8"/>
      <c r="J5" s="77"/>
      <c r="K5" s="4"/>
      <c r="L5" s="4"/>
      <c r="M5" s="4"/>
      <c r="N5" s="4"/>
      <c r="O5" s="4"/>
      <c r="P5" s="4"/>
      <c r="Q5" s="4"/>
      <c r="R5" s="4"/>
      <c r="S5" s="4"/>
    </row>
    <row r="6" spans="1:26">
      <c r="A6" s="3">
        <v>3.4</v>
      </c>
      <c r="B6" s="74">
        <v>44616</v>
      </c>
      <c r="C6" s="3">
        <v>2992</v>
      </c>
      <c r="D6" s="70">
        <v>1271.3</v>
      </c>
      <c r="E6" s="70">
        <v>274.37</v>
      </c>
      <c r="F6" s="7">
        <f t="shared" si="0"/>
        <v>10.172799999999999</v>
      </c>
      <c r="G6" s="4"/>
      <c r="H6" s="4"/>
      <c r="I6" s="4"/>
      <c r="J6" s="77"/>
      <c r="K6" s="4"/>
      <c r="L6" s="4"/>
      <c r="M6" s="4"/>
      <c r="N6" s="4"/>
      <c r="O6" s="4"/>
      <c r="P6" s="4"/>
      <c r="Q6" s="4"/>
      <c r="R6" s="4"/>
      <c r="S6" s="4"/>
    </row>
    <row r="7" spans="1:26">
      <c r="A7" s="3">
        <v>3</v>
      </c>
      <c r="B7" s="74">
        <v>44616</v>
      </c>
      <c r="C7" s="3">
        <v>2992</v>
      </c>
      <c r="D7" s="70">
        <v>1200.7</v>
      </c>
      <c r="E7" s="70">
        <v>243.41</v>
      </c>
      <c r="F7" s="7">
        <f t="shared" si="0"/>
        <v>8.9760000000000009</v>
      </c>
      <c r="G7" s="3"/>
      <c r="H7" s="3"/>
      <c r="I7" s="8"/>
      <c r="J7" s="77"/>
      <c r="K7" s="4"/>
      <c r="L7" s="4"/>
      <c r="M7" s="4"/>
      <c r="N7" s="4"/>
      <c r="O7" s="4"/>
      <c r="P7" s="4"/>
      <c r="Q7" s="4"/>
      <c r="R7" s="4"/>
      <c r="S7" s="4"/>
    </row>
    <row r="8" spans="1:26">
      <c r="A8" s="3">
        <v>2.4</v>
      </c>
      <c r="B8" s="74">
        <v>44616</v>
      </c>
      <c r="C8" s="3">
        <v>2992</v>
      </c>
      <c r="D8" s="70">
        <v>935.6</v>
      </c>
      <c r="E8" s="70">
        <v>225.06</v>
      </c>
      <c r="F8" s="7">
        <f t="shared" si="0"/>
        <v>7.1807999999999996</v>
      </c>
      <c r="G8" s="4"/>
      <c r="H8" s="4"/>
      <c r="I8" s="4"/>
      <c r="J8" s="77"/>
      <c r="K8" s="4"/>
      <c r="L8" s="4"/>
      <c r="M8" s="4"/>
      <c r="N8" s="4"/>
      <c r="O8" s="4"/>
      <c r="P8" s="4"/>
      <c r="Q8" s="4"/>
      <c r="R8" s="4"/>
      <c r="S8" s="4"/>
    </row>
    <row r="9" spans="1:26">
      <c r="A9" s="3">
        <v>2</v>
      </c>
      <c r="B9" s="74">
        <v>44616</v>
      </c>
      <c r="C9" s="3">
        <v>2992</v>
      </c>
      <c r="D9" s="70">
        <v>808.59</v>
      </c>
      <c r="E9" s="70">
        <v>184.79</v>
      </c>
      <c r="F9" s="7">
        <f t="shared" si="0"/>
        <v>5.984</v>
      </c>
      <c r="G9" s="9" t="s">
        <v>89</v>
      </c>
      <c r="H9" s="9"/>
      <c r="I9" s="10">
        <f>SLOPE(F3:F14,D3:D14)</f>
        <v>8.3835274552552241E-3</v>
      </c>
      <c r="J9" s="77"/>
      <c r="K9" s="4"/>
      <c r="L9" s="4"/>
      <c r="M9" s="4"/>
      <c r="N9" s="4"/>
      <c r="O9" s="4"/>
      <c r="P9" s="4"/>
      <c r="Q9" s="4"/>
      <c r="R9" s="4"/>
      <c r="S9" s="4"/>
    </row>
    <row r="10" spans="1:26">
      <c r="A10" s="3">
        <v>1.4</v>
      </c>
      <c r="B10" s="74">
        <v>44616</v>
      </c>
      <c r="C10" s="3">
        <v>2992</v>
      </c>
      <c r="D10" s="70">
        <v>601.08000000000004</v>
      </c>
      <c r="E10" s="70">
        <v>138.61000000000001</v>
      </c>
      <c r="F10" s="7">
        <f t="shared" si="0"/>
        <v>4.1887999999999996</v>
      </c>
      <c r="G10" s="9" t="s">
        <v>90</v>
      </c>
      <c r="H10" s="9"/>
      <c r="I10" s="10">
        <f>INTERCEPT(F3:F14,D3:D14)</f>
        <v>-0.29562665227191598</v>
      </c>
      <c r="J10" s="77"/>
      <c r="K10" s="4"/>
      <c r="L10" s="4"/>
      <c r="M10" s="4"/>
      <c r="N10" s="4"/>
      <c r="O10" s="4"/>
      <c r="P10" s="4"/>
      <c r="Q10" s="4"/>
      <c r="R10" s="4"/>
      <c r="S10" s="4"/>
    </row>
    <row r="11" spans="1:26">
      <c r="A11" s="3">
        <v>1</v>
      </c>
      <c r="B11" s="74">
        <v>44616</v>
      </c>
      <c r="C11" s="3">
        <v>2992</v>
      </c>
      <c r="D11" s="70">
        <v>355.01</v>
      </c>
      <c r="E11" s="70">
        <v>75.760000000000005</v>
      </c>
      <c r="F11" s="7">
        <f t="shared" si="0"/>
        <v>2.992</v>
      </c>
      <c r="G11" s="3"/>
      <c r="H11" s="3"/>
      <c r="I11" s="10"/>
      <c r="J11" s="77"/>
      <c r="K11" s="4"/>
      <c r="L11" s="4"/>
      <c r="M11" s="4"/>
      <c r="N11" s="4"/>
      <c r="O11" s="4"/>
      <c r="P11" s="4"/>
      <c r="Q11" s="4"/>
      <c r="R11" s="4"/>
      <c r="S11" s="4"/>
    </row>
    <row r="12" spans="1:26" ht="15" thickBot="1">
      <c r="A12" s="11">
        <v>0.4</v>
      </c>
      <c r="B12" s="74">
        <v>44616</v>
      </c>
      <c r="C12" s="3">
        <v>2992</v>
      </c>
      <c r="D12" s="71">
        <v>160.9</v>
      </c>
      <c r="E12" s="71">
        <v>43.95</v>
      </c>
      <c r="F12" s="7">
        <f t="shared" si="0"/>
        <v>1.1968000000000001</v>
      </c>
      <c r="G12" s="12" t="s">
        <v>91</v>
      </c>
      <c r="H12" s="12"/>
      <c r="I12" s="13">
        <f>SLOPE(F3:F14,E3:E14)</f>
        <v>4.2409120521156848E-2</v>
      </c>
      <c r="J12" s="77"/>
      <c r="K12" s="4"/>
      <c r="L12" s="4"/>
      <c r="M12" s="4"/>
      <c r="N12" s="4"/>
      <c r="O12" s="4"/>
      <c r="P12" s="4"/>
      <c r="Q12" s="4"/>
      <c r="R12" s="4"/>
      <c r="S12" s="4"/>
    </row>
    <row r="13" spans="1:26">
      <c r="A13" s="11">
        <v>0.2</v>
      </c>
      <c r="B13" s="74">
        <v>44616</v>
      </c>
      <c r="C13" s="3">
        <v>2992</v>
      </c>
      <c r="D13" s="71">
        <v>87.15</v>
      </c>
      <c r="E13" s="71">
        <v>19.93</v>
      </c>
      <c r="F13" s="7">
        <f t="shared" si="0"/>
        <v>0.59840000000000004</v>
      </c>
      <c r="G13" s="14" t="s">
        <v>92</v>
      </c>
      <c r="H13" s="14"/>
      <c r="I13" s="13">
        <f>INTERCEPT(F3:F14,E3:E14)</f>
        <v>-0.7408218610178201</v>
      </c>
      <c r="J13" s="77"/>
      <c r="K13" s="4"/>
      <c r="L13" s="4"/>
      <c r="M13" s="4"/>
      <c r="N13" s="4"/>
      <c r="O13" s="4"/>
      <c r="P13" s="4"/>
      <c r="Q13" s="4"/>
      <c r="R13" s="4"/>
      <c r="S13" s="4"/>
      <c r="W13" s="90" t="s">
        <v>93</v>
      </c>
      <c r="X13" s="91"/>
      <c r="Y13" s="91"/>
      <c r="Z13" s="92"/>
    </row>
    <row r="14" spans="1:26">
      <c r="A14" s="11">
        <v>0.1</v>
      </c>
      <c r="B14" s="74">
        <v>44616</v>
      </c>
      <c r="C14" s="3">
        <v>2992</v>
      </c>
      <c r="D14" s="71">
        <v>19.329999999999998</v>
      </c>
      <c r="E14" s="71">
        <v>6.77</v>
      </c>
      <c r="F14" s="7">
        <f t="shared" si="0"/>
        <v>0.29920000000000002</v>
      </c>
      <c r="G14" s="4"/>
      <c r="H14" s="4"/>
      <c r="I14" s="4"/>
      <c r="J14" s="77"/>
      <c r="K14" s="4"/>
      <c r="L14" s="4"/>
      <c r="M14" s="4"/>
      <c r="N14" s="4"/>
      <c r="O14" s="4"/>
      <c r="P14" s="4"/>
      <c r="Q14" s="4"/>
      <c r="R14" s="4"/>
      <c r="S14" s="4"/>
      <c r="W14" s="15" t="s">
        <v>94</v>
      </c>
      <c r="X14" s="16" t="s">
        <v>95</v>
      </c>
      <c r="Y14" s="16" t="s">
        <v>94</v>
      </c>
      <c r="Z14" s="17" t="s">
        <v>95</v>
      </c>
    </row>
    <row r="15" spans="1:26" ht="15" thickBot="1">
      <c r="A15" s="11">
        <v>0</v>
      </c>
      <c r="B15" s="74">
        <v>44616</v>
      </c>
      <c r="C15" s="3">
        <v>2992</v>
      </c>
      <c r="D15" s="71">
        <v>0</v>
      </c>
      <c r="E15" s="71">
        <v>0</v>
      </c>
      <c r="F15" s="7">
        <f t="shared" si="0"/>
        <v>0</v>
      </c>
      <c r="G15" s="4"/>
      <c r="H15" s="4"/>
      <c r="I15" s="4"/>
      <c r="J15" s="77"/>
      <c r="K15" s="4"/>
      <c r="L15" s="4"/>
      <c r="M15" s="4"/>
      <c r="N15" s="4"/>
      <c r="O15" s="4"/>
      <c r="P15" s="4"/>
      <c r="Q15" s="4"/>
      <c r="R15" s="4"/>
      <c r="S15" s="4"/>
      <c r="W15" s="18"/>
      <c r="X15" s="19"/>
      <c r="Y15" s="19"/>
      <c r="Z15" s="20"/>
    </row>
    <row r="16" spans="1:26" ht="15.6">
      <c r="A16" s="21" t="s">
        <v>96</v>
      </c>
      <c r="B16" s="21" t="s">
        <v>97</v>
      </c>
      <c r="C16" s="21" t="s">
        <v>59</v>
      </c>
      <c r="D16" s="21" t="s">
        <v>81</v>
      </c>
      <c r="E16" s="21" t="s">
        <v>82</v>
      </c>
      <c r="F16" s="22" t="s">
        <v>98</v>
      </c>
      <c r="G16" s="22" t="s">
        <v>99</v>
      </c>
      <c r="H16" s="22" t="s">
        <v>100</v>
      </c>
      <c r="I16" s="23" t="s">
        <v>101</v>
      </c>
      <c r="J16" s="78" t="s">
        <v>102</v>
      </c>
      <c r="K16" s="21" t="s">
        <v>102</v>
      </c>
      <c r="L16" s="21" t="s">
        <v>103</v>
      </c>
      <c r="M16" s="21" t="s">
        <v>104</v>
      </c>
      <c r="N16" s="21" t="s">
        <v>105</v>
      </c>
      <c r="O16" s="21" t="s">
        <v>106</v>
      </c>
      <c r="P16" s="24" t="s">
        <v>107</v>
      </c>
      <c r="Q16" s="24" t="s">
        <v>108</v>
      </c>
      <c r="R16" s="24" t="s">
        <v>108</v>
      </c>
      <c r="S16" s="24" t="s">
        <v>108</v>
      </c>
      <c r="T16" s="24" t="s">
        <v>109</v>
      </c>
      <c r="U16" s="21" t="s">
        <v>110</v>
      </c>
      <c r="V16" s="21" t="s">
        <v>111</v>
      </c>
      <c r="W16" s="21" t="s">
        <v>106</v>
      </c>
      <c r="X16" s="21" t="s">
        <v>106</v>
      </c>
      <c r="Y16" s="24" t="s">
        <v>107</v>
      </c>
      <c r="Z16" s="24" t="s">
        <v>107</v>
      </c>
    </row>
    <row r="17" spans="1:26" ht="15.6">
      <c r="A17" s="5" t="s">
        <v>112</v>
      </c>
      <c r="B17" s="5" t="s">
        <v>113</v>
      </c>
      <c r="C17" s="5" t="s">
        <v>84</v>
      </c>
      <c r="D17" s="5" t="s">
        <v>87</v>
      </c>
      <c r="E17" s="5" t="s">
        <v>87</v>
      </c>
      <c r="F17" s="25" t="s">
        <v>114</v>
      </c>
      <c r="G17" s="25" t="s">
        <v>115</v>
      </c>
      <c r="H17" s="25"/>
      <c r="I17" s="26" t="s">
        <v>116</v>
      </c>
      <c r="J17" s="79" t="s">
        <v>117</v>
      </c>
      <c r="K17" s="5" t="s">
        <v>116</v>
      </c>
      <c r="L17" s="5" t="s">
        <v>84</v>
      </c>
      <c r="M17" s="5" t="s">
        <v>84</v>
      </c>
      <c r="N17" s="5" t="s">
        <v>118</v>
      </c>
      <c r="O17" s="5" t="s">
        <v>118</v>
      </c>
      <c r="P17" s="5" t="s">
        <v>118</v>
      </c>
      <c r="Q17" s="5" t="s">
        <v>119</v>
      </c>
      <c r="R17" s="5" t="s">
        <v>118</v>
      </c>
      <c r="S17" s="5" t="s">
        <v>120</v>
      </c>
      <c r="V17" s="5" t="s">
        <v>121</v>
      </c>
    </row>
    <row r="18" spans="1:26">
      <c r="A18" s="27">
        <f>Jar_Information!B3</f>
        <v>1</v>
      </c>
      <c r="B18" s="75">
        <f>$B$3+H18</f>
        <v>44616.4375</v>
      </c>
      <c r="C18" s="3">
        <v>1</v>
      </c>
      <c r="D18" s="3">
        <v>2552.3000000000002</v>
      </c>
      <c r="E18" s="3">
        <v>551.16</v>
      </c>
      <c r="F18" s="7">
        <f>((I$9*D18)+I$10)/C18/1000</f>
        <v>2.1101650471775993E-2</v>
      </c>
      <c r="G18" s="7">
        <f>((I$12*E18)+I$13)/C18/1000</f>
        <v>2.2633389005422989E-2</v>
      </c>
      <c r="H18" s="72">
        <v>0.4375</v>
      </c>
      <c r="I18" s="69" t="str">
        <f>Jar_Information!M3</f>
        <v>16/05/24 15:00</v>
      </c>
      <c r="J18" s="7">
        <f t="shared" ref="J18:J39" si="1">B18-I18</f>
        <v>2101.8125</v>
      </c>
      <c r="K18" s="31">
        <f>J18*24</f>
        <v>50443.5</v>
      </c>
      <c r="L18" s="32" t="e">
        <f>[2]Jar_Information!H3</f>
        <v>#REF!</v>
      </c>
      <c r="M18" s="31" t="e">
        <f>F18*L18</f>
        <v>#REF!</v>
      </c>
      <c r="N18" s="31" t="e">
        <f>M18*1.83</f>
        <v>#REF!</v>
      </c>
      <c r="O18" s="33" t="e">
        <f t="shared" ref="O18:O39" si="2">N18*(12/(12+(16*2)))</f>
        <v>#REF!</v>
      </c>
      <c r="P18" s="34" t="e">
        <f>O18*(400/(400+L18))</f>
        <v>#REF!</v>
      </c>
      <c r="Q18" s="35"/>
      <c r="R18" s="35">
        <f>Q18/314.7</f>
        <v>0</v>
      </c>
      <c r="S18" s="35" t="e">
        <f>R18/P18*100</f>
        <v>#REF!</v>
      </c>
      <c r="T18" s="36">
        <f>F18*1000000</f>
        <v>21101.650471775993</v>
      </c>
      <c r="U18" s="37" t="e">
        <f>M18/L18*100</f>
        <v>#REF!</v>
      </c>
      <c r="V18" s="38" t="e">
        <f>O18/K18</f>
        <v>#REF!</v>
      </c>
      <c r="W18" s="39" t="e">
        <f>V18*24*5</f>
        <v>#REF!</v>
      </c>
      <c r="X18" s="39" t="e">
        <f>V18*24*25</f>
        <v>#REF!</v>
      </c>
      <c r="Y18" s="40" t="e">
        <f t="shared" ref="Y18:Y39" si="3">W18*(400/(400+L18))</f>
        <v>#REF!</v>
      </c>
      <c r="Z18" s="40" t="e">
        <f t="shared" ref="Z18:Z39" si="4">X18*(400/(400+L18))</f>
        <v>#REF!</v>
      </c>
    </row>
    <row r="19" spans="1:26">
      <c r="A19" s="27">
        <f>Jar_Information!B4</f>
        <v>2</v>
      </c>
      <c r="B19" s="75">
        <f t="shared" ref="B19:B28" si="5">$B$3+H19</f>
        <v>44616.4375</v>
      </c>
      <c r="C19" s="3">
        <v>1</v>
      </c>
      <c r="D19" s="3">
        <v>3013.5</v>
      </c>
      <c r="E19" s="3">
        <v>676.4</v>
      </c>
      <c r="F19" s="7">
        <f t="shared" ref="F19:F39" si="6">((I$9*D19)+I$10)/C19/1000</f>
        <v>2.4968133334139702E-2</v>
      </c>
      <c r="G19" s="7">
        <f t="shared" ref="G19:G39" si="7">((I$12*E19)+I$13)/C19/1000</f>
        <v>2.794470725949267E-2</v>
      </c>
      <c r="H19" s="72">
        <v>0.4375</v>
      </c>
      <c r="I19" s="69" t="str">
        <f>Jar_Information!M4</f>
        <v>16/05/24 15:01</v>
      </c>
      <c r="J19" s="7">
        <f t="shared" si="1"/>
        <v>2101.8118055555533</v>
      </c>
      <c r="K19" s="31">
        <f t="shared" ref="K19:K39" si="8">J19*24</f>
        <v>50443.483333333279</v>
      </c>
      <c r="L19" s="32" t="e">
        <f>[2]Jar_Information!H4</f>
        <v>#REF!</v>
      </c>
      <c r="M19" s="31" t="e">
        <f t="shared" ref="M19:M39" si="9">F19*L19</f>
        <v>#REF!</v>
      </c>
      <c r="N19" s="31" t="e">
        <f t="shared" ref="N19:N39" si="10">M19*1.83</f>
        <v>#REF!</v>
      </c>
      <c r="O19" s="33" t="e">
        <f t="shared" si="2"/>
        <v>#REF!</v>
      </c>
      <c r="P19" s="34" t="e">
        <f t="shared" ref="P19:P39" si="11">O19*(400/(400+L19))</f>
        <v>#REF!</v>
      </c>
      <c r="Q19" s="35"/>
      <c r="R19" s="35">
        <f t="shared" ref="R19:R39" si="12">Q19/314.7</f>
        <v>0</v>
      </c>
      <c r="S19" s="35" t="e">
        <f t="shared" ref="S19:S39" si="13">R19/P19*100</f>
        <v>#REF!</v>
      </c>
      <c r="T19" s="36">
        <f t="shared" ref="T19:T39" si="14">F19*1000000</f>
        <v>24968.1333341397</v>
      </c>
      <c r="U19" s="37" t="e">
        <f t="shared" ref="U19:U39" si="15">M19/L19*100</f>
        <v>#REF!</v>
      </c>
      <c r="V19" s="38" t="e">
        <f t="shared" ref="V19:V39" si="16">O19/K19</f>
        <v>#REF!</v>
      </c>
      <c r="W19" s="39" t="e">
        <f t="shared" ref="W19:W39" si="17">V19*24*5</f>
        <v>#REF!</v>
      </c>
      <c r="X19" s="39" t="e">
        <f t="shared" ref="X19:X39" si="18">V19*24*25</f>
        <v>#REF!</v>
      </c>
      <c r="Y19" s="40" t="e">
        <f t="shared" si="3"/>
        <v>#REF!</v>
      </c>
      <c r="Z19" s="40" t="e">
        <f t="shared" si="4"/>
        <v>#REF!</v>
      </c>
    </row>
    <row r="20" spans="1:26">
      <c r="A20" s="27">
        <f>Jar_Information!B5</f>
        <v>3</v>
      </c>
      <c r="B20" s="75">
        <f t="shared" si="5"/>
        <v>44616.4375</v>
      </c>
      <c r="C20" s="3">
        <v>1</v>
      </c>
      <c r="D20" s="3">
        <v>2823.9</v>
      </c>
      <c r="E20" s="3">
        <v>659.56</v>
      </c>
      <c r="F20" s="7">
        <f t="shared" si="6"/>
        <v>2.337861652862331E-2</v>
      </c>
      <c r="G20" s="7">
        <f t="shared" si="7"/>
        <v>2.7230537669916389E-2</v>
      </c>
      <c r="H20" s="72">
        <v>0.4375</v>
      </c>
      <c r="I20" s="69" t="str">
        <f>Jar_Information!M5</f>
        <v>16/05/24 15:02</v>
      </c>
      <c r="J20" s="7">
        <f t="shared" si="1"/>
        <v>2101.8111111111139</v>
      </c>
      <c r="K20" s="31">
        <f t="shared" si="8"/>
        <v>50443.466666666733</v>
      </c>
      <c r="L20" s="32" t="e">
        <f>[2]Jar_Information!H5</f>
        <v>#REF!</v>
      </c>
      <c r="M20" s="31" t="e">
        <f t="shared" si="9"/>
        <v>#REF!</v>
      </c>
      <c r="N20" s="31" t="e">
        <f t="shared" si="10"/>
        <v>#REF!</v>
      </c>
      <c r="O20" s="33" t="e">
        <f t="shared" si="2"/>
        <v>#REF!</v>
      </c>
      <c r="P20" s="34" t="e">
        <f t="shared" si="11"/>
        <v>#REF!</v>
      </c>
      <c r="Q20" s="35"/>
      <c r="R20" s="35">
        <f t="shared" si="12"/>
        <v>0</v>
      </c>
      <c r="S20" s="35" t="e">
        <f t="shared" si="13"/>
        <v>#REF!</v>
      </c>
      <c r="T20" s="36">
        <f t="shared" si="14"/>
        <v>23378.616528623308</v>
      </c>
      <c r="U20" s="37" t="e">
        <f t="shared" si="15"/>
        <v>#REF!</v>
      </c>
      <c r="V20" s="38" t="e">
        <f t="shared" si="16"/>
        <v>#REF!</v>
      </c>
      <c r="W20" s="39" t="e">
        <f t="shared" si="17"/>
        <v>#REF!</v>
      </c>
      <c r="X20" s="39" t="e">
        <f t="shared" si="18"/>
        <v>#REF!</v>
      </c>
      <c r="Y20" s="40" t="e">
        <f t="shared" si="3"/>
        <v>#REF!</v>
      </c>
      <c r="Z20" s="40" t="e">
        <f t="shared" si="4"/>
        <v>#REF!</v>
      </c>
    </row>
    <row r="21" spans="1:26">
      <c r="A21" s="27">
        <f>Jar_Information!B6</f>
        <v>4</v>
      </c>
      <c r="B21" s="75">
        <f t="shared" si="5"/>
        <v>44616.4375</v>
      </c>
      <c r="C21" s="3">
        <v>1</v>
      </c>
      <c r="D21" s="3">
        <v>2792.7</v>
      </c>
      <c r="E21" s="3">
        <v>630.97</v>
      </c>
      <c r="F21" s="7">
        <f t="shared" si="6"/>
        <v>2.3117050472019347E-2</v>
      </c>
      <c r="G21" s="7">
        <f t="shared" si="7"/>
        <v>2.6018060914216518E-2</v>
      </c>
      <c r="H21" s="72">
        <v>0.4375</v>
      </c>
      <c r="I21" s="69" t="str">
        <f>Jar_Information!M6</f>
        <v>16/05/24 15:03</v>
      </c>
      <c r="J21" s="7">
        <f t="shared" si="1"/>
        <v>2101.8104166666672</v>
      </c>
      <c r="K21" s="31">
        <f t="shared" si="8"/>
        <v>50443.450000000012</v>
      </c>
      <c r="L21" s="32" t="e">
        <f>[2]Jar_Information!H6</f>
        <v>#REF!</v>
      </c>
      <c r="M21" s="31" t="e">
        <f t="shared" si="9"/>
        <v>#REF!</v>
      </c>
      <c r="N21" s="31" t="e">
        <f t="shared" si="10"/>
        <v>#REF!</v>
      </c>
      <c r="O21" s="33" t="e">
        <f t="shared" si="2"/>
        <v>#REF!</v>
      </c>
      <c r="P21" s="34" t="e">
        <f t="shared" si="11"/>
        <v>#REF!</v>
      </c>
      <c r="Q21" s="35"/>
      <c r="R21" s="35">
        <f t="shared" si="12"/>
        <v>0</v>
      </c>
      <c r="S21" s="35" t="e">
        <f t="shared" si="13"/>
        <v>#REF!</v>
      </c>
      <c r="T21" s="36">
        <f t="shared" si="14"/>
        <v>23117.050472019346</v>
      </c>
      <c r="U21" s="37" t="e">
        <f t="shared" si="15"/>
        <v>#REF!</v>
      </c>
      <c r="V21" s="38" t="e">
        <f t="shared" si="16"/>
        <v>#REF!</v>
      </c>
      <c r="W21" s="39" t="e">
        <f t="shared" si="17"/>
        <v>#REF!</v>
      </c>
      <c r="X21" s="39" t="e">
        <f t="shared" si="18"/>
        <v>#REF!</v>
      </c>
      <c r="Y21" s="40" t="e">
        <f t="shared" si="3"/>
        <v>#REF!</v>
      </c>
      <c r="Z21" s="40" t="e">
        <f t="shared" si="4"/>
        <v>#REF!</v>
      </c>
    </row>
    <row r="22" spans="1:26">
      <c r="A22" s="27">
        <f>Jar_Information!B7</f>
        <v>5</v>
      </c>
      <c r="B22" s="75">
        <f t="shared" si="5"/>
        <v>44616.4375</v>
      </c>
      <c r="C22" s="3">
        <v>1</v>
      </c>
      <c r="D22" s="3">
        <v>2725.9</v>
      </c>
      <c r="E22" s="3">
        <v>651.03</v>
      </c>
      <c r="F22" s="7">
        <f t="shared" si="6"/>
        <v>2.2557030838008297E-2</v>
      </c>
      <c r="G22" s="7">
        <f t="shared" si="7"/>
        <v>2.6868787871870921E-2</v>
      </c>
      <c r="H22" s="72">
        <v>0.4375</v>
      </c>
      <c r="I22" s="69" t="str">
        <f>Jar_Information!M7</f>
        <v>16/05/24 15:04</v>
      </c>
      <c r="J22" s="7">
        <f t="shared" si="1"/>
        <v>2101.8097222222204</v>
      </c>
      <c r="K22" s="31">
        <f t="shared" si="8"/>
        <v>50443.433333333291</v>
      </c>
      <c r="L22" s="32" t="e">
        <f>[2]Jar_Information!H7</f>
        <v>#REF!</v>
      </c>
      <c r="M22" s="31" t="e">
        <f t="shared" si="9"/>
        <v>#REF!</v>
      </c>
      <c r="N22" s="31" t="e">
        <f t="shared" si="10"/>
        <v>#REF!</v>
      </c>
      <c r="O22" s="33" t="e">
        <f t="shared" si="2"/>
        <v>#REF!</v>
      </c>
      <c r="P22" s="34" t="e">
        <f t="shared" si="11"/>
        <v>#REF!</v>
      </c>
      <c r="Q22" s="35"/>
      <c r="R22" s="35">
        <f t="shared" si="12"/>
        <v>0</v>
      </c>
      <c r="S22" s="35" t="e">
        <f t="shared" si="13"/>
        <v>#REF!</v>
      </c>
      <c r="T22" s="36">
        <f t="shared" si="14"/>
        <v>22557.030838008297</v>
      </c>
      <c r="U22" s="37" t="e">
        <f t="shared" si="15"/>
        <v>#REF!</v>
      </c>
      <c r="V22" s="38" t="e">
        <f t="shared" si="16"/>
        <v>#REF!</v>
      </c>
      <c r="W22" s="39" t="e">
        <f t="shared" si="17"/>
        <v>#REF!</v>
      </c>
      <c r="X22" s="39" t="e">
        <f t="shared" si="18"/>
        <v>#REF!</v>
      </c>
      <c r="Y22" s="40" t="e">
        <f t="shared" si="3"/>
        <v>#REF!</v>
      </c>
      <c r="Z22" s="40" t="e">
        <f t="shared" si="4"/>
        <v>#REF!</v>
      </c>
    </row>
    <row r="23" spans="1:26">
      <c r="A23" s="27" t="str">
        <f>Jar_Information!B8</f>
        <v>Peat-1-10-60</v>
      </c>
      <c r="B23" s="75">
        <f t="shared" si="5"/>
        <v>44616.4375</v>
      </c>
      <c r="C23" s="3">
        <v>4</v>
      </c>
      <c r="D23" s="3">
        <v>5061.3999999999996</v>
      </c>
      <c r="E23" s="3">
        <v>892.09</v>
      </c>
      <c r="F23" s="7">
        <f t="shared" si="6"/>
        <v>1.0534189802439219E-2</v>
      </c>
      <c r="G23" s="7">
        <f t="shared" si="7"/>
        <v>9.2729826161752488E-3</v>
      </c>
      <c r="H23" s="72">
        <v>0.4375</v>
      </c>
      <c r="I23" s="69" t="str">
        <f>Jar_Information!M8</f>
        <v>16/05/24 15:05</v>
      </c>
      <c r="J23" s="7">
        <f t="shared" si="1"/>
        <v>2101.809027777781</v>
      </c>
      <c r="K23" s="31">
        <f t="shared" si="8"/>
        <v>50443.416666666744</v>
      </c>
      <c r="L23" s="32" t="e">
        <f>[2]Jar_Information!H8</f>
        <v>#REF!</v>
      </c>
      <c r="M23" s="31" t="e">
        <f t="shared" si="9"/>
        <v>#REF!</v>
      </c>
      <c r="N23" s="31" t="e">
        <f t="shared" si="10"/>
        <v>#REF!</v>
      </c>
      <c r="O23" s="33" t="e">
        <f t="shared" si="2"/>
        <v>#REF!</v>
      </c>
      <c r="P23" s="34" t="e">
        <f t="shared" si="11"/>
        <v>#REF!</v>
      </c>
      <c r="Q23" s="35"/>
      <c r="R23" s="35">
        <f t="shared" si="12"/>
        <v>0</v>
      </c>
      <c r="S23" s="35" t="e">
        <f t="shared" si="13"/>
        <v>#REF!</v>
      </c>
      <c r="T23" s="36">
        <f t="shared" si="14"/>
        <v>10534.189802439219</v>
      </c>
      <c r="U23" s="37" t="e">
        <f t="shared" si="15"/>
        <v>#REF!</v>
      </c>
      <c r="V23" s="38" t="e">
        <f t="shared" si="16"/>
        <v>#REF!</v>
      </c>
      <c r="W23" s="39" t="e">
        <f t="shared" si="17"/>
        <v>#REF!</v>
      </c>
      <c r="X23" s="39" t="e">
        <f t="shared" si="18"/>
        <v>#REF!</v>
      </c>
      <c r="Y23" s="40" t="e">
        <f t="shared" si="3"/>
        <v>#REF!</v>
      </c>
      <c r="Z23" s="40" t="e">
        <f t="shared" si="4"/>
        <v>#REF!</v>
      </c>
    </row>
    <row r="24" spans="1:26">
      <c r="A24" s="27" t="str">
        <f>Jar_Information!B9</f>
        <v>Peat-2-10-60</v>
      </c>
      <c r="B24" s="75">
        <f t="shared" si="5"/>
        <v>44616.4375</v>
      </c>
      <c r="C24" s="3">
        <v>2</v>
      </c>
      <c r="D24" s="3">
        <v>3444.5</v>
      </c>
      <c r="E24" s="3">
        <v>693.65</v>
      </c>
      <c r="F24" s="7">
        <f t="shared" si="6"/>
        <v>1.4290716833677351E-2</v>
      </c>
      <c r="G24" s="7">
        <f t="shared" si="7"/>
        <v>1.4338132294241312E-2</v>
      </c>
      <c r="H24" s="72">
        <v>0.4375</v>
      </c>
      <c r="I24" s="69" t="str">
        <f>Jar_Information!M9</f>
        <v>16/05/24 15:06</v>
      </c>
      <c r="J24" s="7">
        <f t="shared" si="1"/>
        <v>2101.8083333333343</v>
      </c>
      <c r="K24" s="31">
        <f t="shared" si="8"/>
        <v>50443.400000000023</v>
      </c>
      <c r="L24" s="32" t="e">
        <f>[2]Jar_Information!H9</f>
        <v>#REF!</v>
      </c>
      <c r="M24" s="31" t="e">
        <f t="shared" si="9"/>
        <v>#REF!</v>
      </c>
      <c r="N24" s="31" t="e">
        <f t="shared" si="10"/>
        <v>#REF!</v>
      </c>
      <c r="O24" s="33" t="e">
        <f t="shared" si="2"/>
        <v>#REF!</v>
      </c>
      <c r="P24" s="34" t="e">
        <f t="shared" si="11"/>
        <v>#REF!</v>
      </c>
      <c r="Q24" s="35"/>
      <c r="R24" s="35">
        <f t="shared" si="12"/>
        <v>0</v>
      </c>
      <c r="S24" s="35" t="e">
        <f t="shared" si="13"/>
        <v>#REF!</v>
      </c>
      <c r="T24" s="36">
        <f t="shared" si="14"/>
        <v>14290.716833677352</v>
      </c>
      <c r="U24" s="37" t="e">
        <f t="shared" si="15"/>
        <v>#REF!</v>
      </c>
      <c r="V24" s="38" t="e">
        <f t="shared" si="16"/>
        <v>#REF!</v>
      </c>
      <c r="W24" s="39" t="e">
        <f t="shared" si="17"/>
        <v>#REF!</v>
      </c>
      <c r="X24" s="39" t="e">
        <f t="shared" si="18"/>
        <v>#REF!</v>
      </c>
      <c r="Y24" s="40" t="e">
        <f t="shared" si="3"/>
        <v>#REF!</v>
      </c>
      <c r="Z24" s="40" t="e">
        <f t="shared" si="4"/>
        <v>#REF!</v>
      </c>
    </row>
    <row r="25" spans="1:26">
      <c r="A25" s="27" t="str">
        <f>Jar_Information!B10</f>
        <v>Peat-3-10-60</v>
      </c>
      <c r="B25" s="75">
        <f t="shared" si="5"/>
        <v>44616.4375</v>
      </c>
      <c r="C25" s="3">
        <v>1</v>
      </c>
      <c r="D25" s="3">
        <v>1985.3</v>
      </c>
      <c r="E25" s="3">
        <v>462.5</v>
      </c>
      <c r="F25" s="7">
        <f t="shared" si="6"/>
        <v>1.6348190404646277E-2</v>
      </c>
      <c r="G25" s="7">
        <f t="shared" si="7"/>
        <v>1.8873396380017223E-2</v>
      </c>
      <c r="H25" s="72">
        <v>0.4375</v>
      </c>
      <c r="I25" s="69" t="str">
        <f>Jar_Information!M10</f>
        <v>16/05/24 15:07</v>
      </c>
      <c r="J25" s="7">
        <f t="shared" si="1"/>
        <v>2101.8076388888876</v>
      </c>
      <c r="K25" s="31">
        <f t="shared" si="8"/>
        <v>50443.383333333302</v>
      </c>
      <c r="L25" s="32" t="e">
        <f>[2]Jar_Information!H10</f>
        <v>#REF!</v>
      </c>
      <c r="M25" s="31" t="e">
        <f t="shared" si="9"/>
        <v>#REF!</v>
      </c>
      <c r="N25" s="31" t="e">
        <f t="shared" si="10"/>
        <v>#REF!</v>
      </c>
      <c r="O25" s="33" t="e">
        <f t="shared" si="2"/>
        <v>#REF!</v>
      </c>
      <c r="P25" s="34" t="e">
        <f t="shared" si="11"/>
        <v>#REF!</v>
      </c>
      <c r="Q25" s="35"/>
      <c r="R25" s="35">
        <f t="shared" si="12"/>
        <v>0</v>
      </c>
      <c r="S25" s="35" t="e">
        <f t="shared" si="13"/>
        <v>#REF!</v>
      </c>
      <c r="T25" s="36">
        <f t="shared" si="14"/>
        <v>16348.190404646277</v>
      </c>
      <c r="U25" s="37" t="e">
        <f t="shared" si="15"/>
        <v>#REF!</v>
      </c>
      <c r="V25" s="38" t="e">
        <f t="shared" si="16"/>
        <v>#REF!</v>
      </c>
      <c r="W25" s="39" t="e">
        <f t="shared" si="17"/>
        <v>#REF!</v>
      </c>
      <c r="X25" s="39" t="e">
        <f t="shared" si="18"/>
        <v>#REF!</v>
      </c>
      <c r="Y25" s="40" t="e">
        <f t="shared" si="3"/>
        <v>#REF!</v>
      </c>
      <c r="Z25" s="40" t="e">
        <f t="shared" si="4"/>
        <v>#REF!</v>
      </c>
    </row>
    <row r="26" spans="1:26">
      <c r="A26" s="27" t="str">
        <f>Jar_Information!B11</f>
        <v>Peat-4-10-60</v>
      </c>
      <c r="B26" s="75">
        <f t="shared" si="5"/>
        <v>44616.4375</v>
      </c>
      <c r="C26" s="3">
        <v>1</v>
      </c>
      <c r="D26" s="3">
        <v>2013.1</v>
      </c>
      <c r="E26" s="3">
        <v>465.25</v>
      </c>
      <c r="F26" s="7">
        <f t="shared" si="6"/>
        <v>1.6581252467902374E-2</v>
      </c>
      <c r="G26" s="7">
        <f t="shared" si="7"/>
        <v>1.8990021461450405E-2</v>
      </c>
      <c r="H26" s="72">
        <v>0.4375</v>
      </c>
      <c r="I26" s="69" t="str">
        <f>Jar_Information!M11</f>
        <v>16/05/24 15:08</v>
      </c>
      <c r="J26" s="7">
        <f t="shared" si="1"/>
        <v>2101.8069444444409</v>
      </c>
      <c r="K26" s="31">
        <f t="shared" si="8"/>
        <v>50443.366666666581</v>
      </c>
      <c r="L26" s="32" t="e">
        <f>[2]Jar_Information!H11</f>
        <v>#REF!</v>
      </c>
      <c r="M26" s="31" t="e">
        <f t="shared" si="9"/>
        <v>#REF!</v>
      </c>
      <c r="N26" s="31" t="e">
        <f t="shared" si="10"/>
        <v>#REF!</v>
      </c>
      <c r="O26" s="33" t="e">
        <f t="shared" si="2"/>
        <v>#REF!</v>
      </c>
      <c r="P26" s="34" t="e">
        <f t="shared" si="11"/>
        <v>#REF!</v>
      </c>
      <c r="Q26" s="35"/>
      <c r="R26" s="35">
        <f t="shared" si="12"/>
        <v>0</v>
      </c>
      <c r="S26" s="35" t="e">
        <f t="shared" si="13"/>
        <v>#REF!</v>
      </c>
      <c r="T26" s="36">
        <f t="shared" si="14"/>
        <v>16581.252467902374</v>
      </c>
      <c r="U26" s="37" t="e">
        <f t="shared" si="15"/>
        <v>#REF!</v>
      </c>
      <c r="V26" s="38" t="e">
        <f t="shared" si="16"/>
        <v>#REF!</v>
      </c>
      <c r="W26" s="39" t="e">
        <f t="shared" si="17"/>
        <v>#REF!</v>
      </c>
      <c r="X26" s="39" t="e">
        <f t="shared" si="18"/>
        <v>#REF!</v>
      </c>
      <c r="Y26" s="40" t="e">
        <f t="shared" si="3"/>
        <v>#REF!</v>
      </c>
      <c r="Z26" s="40" t="e">
        <f t="shared" si="4"/>
        <v>#REF!</v>
      </c>
    </row>
    <row r="27" spans="1:26">
      <c r="A27" s="27" t="str">
        <f>Jar_Information!B12</f>
        <v>Peat-5-10-60</v>
      </c>
      <c r="B27" s="75">
        <f t="shared" si="5"/>
        <v>44616.4375</v>
      </c>
      <c r="C27" s="3">
        <v>1</v>
      </c>
      <c r="D27" s="3">
        <v>1909.5</v>
      </c>
      <c r="E27" s="3">
        <v>440.06</v>
      </c>
      <c r="F27" s="7">
        <f t="shared" si="6"/>
        <v>1.5712719023537932E-2</v>
      </c>
      <c r="G27" s="7">
        <f t="shared" si="7"/>
        <v>1.7921735715522462E-2</v>
      </c>
      <c r="H27" s="72">
        <v>0.4375</v>
      </c>
      <c r="I27" s="69" t="str">
        <f>Jar_Information!M12</f>
        <v>16/05/24 15:09</v>
      </c>
      <c r="J27" s="7">
        <f t="shared" si="1"/>
        <v>2101.8062500000015</v>
      </c>
      <c r="K27" s="31">
        <f t="shared" si="8"/>
        <v>50443.350000000035</v>
      </c>
      <c r="L27" s="32" t="e">
        <f>[2]Jar_Information!H12</f>
        <v>#REF!</v>
      </c>
      <c r="M27" s="31" t="e">
        <f t="shared" si="9"/>
        <v>#REF!</v>
      </c>
      <c r="N27" s="31" t="e">
        <f t="shared" si="10"/>
        <v>#REF!</v>
      </c>
      <c r="O27" s="33" t="e">
        <f t="shared" si="2"/>
        <v>#REF!</v>
      </c>
      <c r="P27" s="34" t="e">
        <f t="shared" si="11"/>
        <v>#REF!</v>
      </c>
      <c r="Q27" s="35"/>
      <c r="R27" s="35">
        <f t="shared" si="12"/>
        <v>0</v>
      </c>
      <c r="S27" s="35" t="e">
        <f t="shared" si="13"/>
        <v>#REF!</v>
      </c>
      <c r="T27" s="36">
        <f t="shared" si="14"/>
        <v>15712.719023537931</v>
      </c>
      <c r="U27" s="37" t="e">
        <f t="shared" si="15"/>
        <v>#REF!</v>
      </c>
      <c r="V27" s="38" t="e">
        <f t="shared" si="16"/>
        <v>#REF!</v>
      </c>
      <c r="W27" s="39" t="e">
        <f t="shared" si="17"/>
        <v>#REF!</v>
      </c>
      <c r="X27" s="39" t="e">
        <f t="shared" si="18"/>
        <v>#REF!</v>
      </c>
      <c r="Y27" s="40" t="e">
        <f t="shared" si="3"/>
        <v>#REF!</v>
      </c>
      <c r="Z27" s="40" t="e">
        <f t="shared" si="4"/>
        <v>#REF!</v>
      </c>
    </row>
    <row r="28" spans="1:26">
      <c r="A28" s="27" t="str">
        <f>Jar_Information!B13</f>
        <v>TT-Blank-10</v>
      </c>
      <c r="B28" s="75">
        <f t="shared" si="5"/>
        <v>44616.4375</v>
      </c>
      <c r="C28" s="3">
        <v>5</v>
      </c>
      <c r="D28" s="3">
        <v>1682.9</v>
      </c>
      <c r="E28" s="3">
        <v>355.5</v>
      </c>
      <c r="F28" s="7">
        <f t="shared" si="6"/>
        <v>2.7626023404354202E-3</v>
      </c>
      <c r="G28" s="7">
        <f t="shared" si="7"/>
        <v>2.867124096850688E-3</v>
      </c>
      <c r="H28" s="72">
        <v>0.4375</v>
      </c>
      <c r="I28" s="69" t="str">
        <f>Jar_Information!M13</f>
        <v>16/05/24 15:10</v>
      </c>
      <c r="J28" s="7">
        <f t="shared" si="1"/>
        <v>2101.8055555555547</v>
      </c>
      <c r="K28" s="31">
        <f t="shared" si="8"/>
        <v>50443.333333333314</v>
      </c>
      <c r="L28" s="32" t="e">
        <f>[2]Jar_Information!H13</f>
        <v>#REF!</v>
      </c>
      <c r="M28" s="31" t="e">
        <f t="shared" si="9"/>
        <v>#REF!</v>
      </c>
      <c r="N28" s="31" t="e">
        <f t="shared" si="10"/>
        <v>#REF!</v>
      </c>
      <c r="O28" s="33" t="e">
        <f t="shared" si="2"/>
        <v>#REF!</v>
      </c>
      <c r="P28" s="34" t="e">
        <f t="shared" si="11"/>
        <v>#REF!</v>
      </c>
      <c r="Q28" s="35"/>
      <c r="R28" s="35">
        <f t="shared" si="12"/>
        <v>0</v>
      </c>
      <c r="S28" s="35" t="e">
        <f t="shared" si="13"/>
        <v>#REF!</v>
      </c>
      <c r="T28" s="36">
        <f t="shared" si="14"/>
        <v>2762.60234043542</v>
      </c>
      <c r="U28" s="37" t="e">
        <f t="shared" si="15"/>
        <v>#REF!</v>
      </c>
      <c r="V28" s="38" t="e">
        <f t="shared" si="16"/>
        <v>#REF!</v>
      </c>
      <c r="W28" s="39" t="e">
        <f t="shared" si="17"/>
        <v>#REF!</v>
      </c>
      <c r="X28" s="39" t="e">
        <f t="shared" si="18"/>
        <v>#REF!</v>
      </c>
      <c r="Y28" s="40" t="e">
        <f t="shared" si="3"/>
        <v>#REF!</v>
      </c>
      <c r="Z28" s="40" t="e">
        <f t="shared" si="4"/>
        <v>#REF!</v>
      </c>
    </row>
    <row r="29" spans="1:26">
      <c r="A29" s="27" t="str">
        <f>Jar_Information!B14</f>
        <v>Peat-1-5-95</v>
      </c>
      <c r="B29" s="75"/>
      <c r="C29" s="3"/>
      <c r="D29" s="3"/>
      <c r="E29" s="3"/>
      <c r="F29" s="7" t="e">
        <f t="shared" si="6"/>
        <v>#DIV/0!</v>
      </c>
      <c r="G29" s="7" t="e">
        <f t="shared" si="7"/>
        <v>#DIV/0!</v>
      </c>
      <c r="H29" s="72">
        <v>0.64583333333333337</v>
      </c>
      <c r="I29" s="69" t="str">
        <f>Jar_Information!M14</f>
        <v>16/05/24 15:11</v>
      </c>
      <c r="J29" s="7">
        <f t="shared" si="1"/>
        <v>-42514.632638888892</v>
      </c>
      <c r="K29" s="31">
        <f t="shared" si="8"/>
        <v>-1020351.1833333333</v>
      </c>
      <c r="L29" s="32" t="e">
        <f>[2]Jar_Information!H14</f>
        <v>#REF!</v>
      </c>
      <c r="M29" s="31" t="e">
        <f t="shared" si="9"/>
        <v>#DIV/0!</v>
      </c>
      <c r="N29" s="31" t="e">
        <f t="shared" si="10"/>
        <v>#DIV/0!</v>
      </c>
      <c r="O29" s="33" t="e">
        <f t="shared" si="2"/>
        <v>#DIV/0!</v>
      </c>
      <c r="P29" s="34" t="e">
        <f t="shared" si="11"/>
        <v>#DIV/0!</v>
      </c>
      <c r="Q29" s="35"/>
      <c r="R29" s="35">
        <f t="shared" si="12"/>
        <v>0</v>
      </c>
      <c r="S29" s="35" t="e">
        <f t="shared" si="13"/>
        <v>#DIV/0!</v>
      </c>
      <c r="T29" s="36" t="e">
        <f t="shared" si="14"/>
        <v>#DIV/0!</v>
      </c>
      <c r="U29" s="37" t="e">
        <f t="shared" si="15"/>
        <v>#DIV/0!</v>
      </c>
      <c r="V29" s="38" t="e">
        <f t="shared" si="16"/>
        <v>#DIV/0!</v>
      </c>
      <c r="W29" s="39" t="e">
        <f t="shared" si="17"/>
        <v>#DIV/0!</v>
      </c>
      <c r="X29" s="39" t="e">
        <f t="shared" si="18"/>
        <v>#DIV/0!</v>
      </c>
      <c r="Y29" s="40" t="e">
        <f t="shared" si="3"/>
        <v>#DIV/0!</v>
      </c>
      <c r="Z29" s="40" t="e">
        <f t="shared" si="4"/>
        <v>#DIV/0!</v>
      </c>
    </row>
    <row r="30" spans="1:26">
      <c r="A30" s="27" t="str">
        <f>Jar_Information!B15</f>
        <v>Peat-2-5-95</v>
      </c>
      <c r="B30" s="75"/>
      <c r="C30" s="3"/>
      <c r="D30" s="3"/>
      <c r="E30" s="3"/>
      <c r="F30" s="7" t="e">
        <f t="shared" si="6"/>
        <v>#DIV/0!</v>
      </c>
      <c r="G30" s="7" t="e">
        <f t="shared" si="7"/>
        <v>#DIV/0!</v>
      </c>
      <c r="H30" s="72">
        <v>0.64583333333333337</v>
      </c>
      <c r="I30" s="69" t="str">
        <f>Jar_Information!M15</f>
        <v>16/05/24 15:12</v>
      </c>
      <c r="J30" s="7">
        <f t="shared" si="1"/>
        <v>-42514.633333333331</v>
      </c>
      <c r="K30" s="31">
        <f t="shared" si="8"/>
        <v>-1020351.2</v>
      </c>
      <c r="L30" s="32" t="e">
        <f>[2]Jar_Information!H15</f>
        <v>#REF!</v>
      </c>
      <c r="M30" s="31" t="e">
        <f t="shared" si="9"/>
        <v>#DIV/0!</v>
      </c>
      <c r="N30" s="31" t="e">
        <f t="shared" si="10"/>
        <v>#DIV/0!</v>
      </c>
      <c r="O30" s="33" t="e">
        <f t="shared" si="2"/>
        <v>#DIV/0!</v>
      </c>
      <c r="P30" s="34" t="e">
        <f t="shared" si="11"/>
        <v>#DIV/0!</v>
      </c>
      <c r="Q30" s="35"/>
      <c r="R30" s="35">
        <f t="shared" si="12"/>
        <v>0</v>
      </c>
      <c r="S30" s="35" t="e">
        <f t="shared" si="13"/>
        <v>#DIV/0!</v>
      </c>
      <c r="T30" s="36" t="e">
        <f t="shared" si="14"/>
        <v>#DIV/0!</v>
      </c>
      <c r="U30" s="37" t="e">
        <f t="shared" si="15"/>
        <v>#DIV/0!</v>
      </c>
      <c r="V30" s="38" t="e">
        <f t="shared" si="16"/>
        <v>#DIV/0!</v>
      </c>
      <c r="W30" s="39" t="e">
        <f t="shared" si="17"/>
        <v>#DIV/0!</v>
      </c>
      <c r="X30" s="39" t="e">
        <f t="shared" si="18"/>
        <v>#DIV/0!</v>
      </c>
      <c r="Y30" s="40" t="e">
        <f t="shared" si="3"/>
        <v>#DIV/0!</v>
      </c>
      <c r="Z30" s="40" t="e">
        <f t="shared" si="4"/>
        <v>#DIV/0!</v>
      </c>
    </row>
    <row r="31" spans="1:26">
      <c r="A31" s="27" t="str">
        <f>Jar_Information!B16</f>
        <v>Peat-3-5-95</v>
      </c>
      <c r="B31" s="75"/>
      <c r="C31" s="3"/>
      <c r="D31" s="3"/>
      <c r="E31" s="3"/>
      <c r="F31" s="7" t="e">
        <f t="shared" si="6"/>
        <v>#DIV/0!</v>
      </c>
      <c r="G31" s="7" t="e">
        <f t="shared" si="7"/>
        <v>#DIV/0!</v>
      </c>
      <c r="H31" s="72">
        <v>0.64583333333333337</v>
      </c>
      <c r="I31" s="69" t="str">
        <f>Jar_Information!M16</f>
        <v>16/05/24 15:13</v>
      </c>
      <c r="J31" s="7">
        <f t="shared" si="1"/>
        <v>-42514.634027777778</v>
      </c>
      <c r="K31" s="31">
        <f t="shared" si="8"/>
        <v>-1020351.2166666667</v>
      </c>
      <c r="L31" s="32" t="e">
        <f>[2]Jar_Information!H16</f>
        <v>#REF!</v>
      </c>
      <c r="M31" s="31" t="e">
        <f t="shared" si="9"/>
        <v>#DIV/0!</v>
      </c>
      <c r="N31" s="31" t="e">
        <f t="shared" si="10"/>
        <v>#DIV/0!</v>
      </c>
      <c r="O31" s="33" t="e">
        <f t="shared" si="2"/>
        <v>#DIV/0!</v>
      </c>
      <c r="P31" s="34" t="e">
        <f t="shared" si="11"/>
        <v>#DIV/0!</v>
      </c>
      <c r="Q31" s="35"/>
      <c r="R31" s="35">
        <f t="shared" si="12"/>
        <v>0</v>
      </c>
      <c r="S31" s="35" t="e">
        <f t="shared" si="13"/>
        <v>#DIV/0!</v>
      </c>
      <c r="T31" s="36" t="e">
        <f t="shared" si="14"/>
        <v>#DIV/0!</v>
      </c>
      <c r="U31" s="37" t="e">
        <f t="shared" si="15"/>
        <v>#DIV/0!</v>
      </c>
      <c r="V31" s="38" t="e">
        <f t="shared" si="16"/>
        <v>#DIV/0!</v>
      </c>
      <c r="W31" s="39" t="e">
        <f t="shared" si="17"/>
        <v>#DIV/0!</v>
      </c>
      <c r="X31" s="39" t="e">
        <f t="shared" si="18"/>
        <v>#DIV/0!</v>
      </c>
      <c r="Y31" s="40" t="e">
        <f t="shared" si="3"/>
        <v>#DIV/0!</v>
      </c>
      <c r="Z31" s="40" t="e">
        <f t="shared" si="4"/>
        <v>#DIV/0!</v>
      </c>
    </row>
    <row r="32" spans="1:26">
      <c r="A32" s="27" t="str">
        <f>Jar_Information!B17</f>
        <v>Peat-4-5-95</v>
      </c>
      <c r="B32" s="75"/>
      <c r="C32" s="3"/>
      <c r="D32" s="3"/>
      <c r="E32" s="3"/>
      <c r="F32" s="7" t="e">
        <f t="shared" si="6"/>
        <v>#DIV/0!</v>
      </c>
      <c r="G32" s="7" t="e">
        <f t="shared" si="7"/>
        <v>#DIV/0!</v>
      </c>
      <c r="H32" s="72">
        <v>0.64583333333333337</v>
      </c>
      <c r="I32" s="69" t="str">
        <f>Jar_Information!M17</f>
        <v>16/05/24 15:14</v>
      </c>
      <c r="J32" s="7">
        <f t="shared" si="1"/>
        <v>-42514.634722222225</v>
      </c>
      <c r="K32" s="31">
        <f t="shared" si="8"/>
        <v>-1020351.2333333334</v>
      </c>
      <c r="L32" s="32" t="e">
        <f>[2]Jar_Information!H17</f>
        <v>#REF!</v>
      </c>
      <c r="M32" s="31" t="e">
        <f t="shared" si="9"/>
        <v>#DIV/0!</v>
      </c>
      <c r="N32" s="31" t="e">
        <f t="shared" si="10"/>
        <v>#DIV/0!</v>
      </c>
      <c r="O32" s="33" t="e">
        <f t="shared" si="2"/>
        <v>#DIV/0!</v>
      </c>
      <c r="P32" s="34" t="e">
        <f t="shared" si="11"/>
        <v>#DIV/0!</v>
      </c>
      <c r="Q32" s="35"/>
      <c r="R32" s="35">
        <f t="shared" si="12"/>
        <v>0</v>
      </c>
      <c r="S32" s="35" t="e">
        <f t="shared" si="13"/>
        <v>#DIV/0!</v>
      </c>
      <c r="T32" s="36" t="e">
        <f t="shared" si="14"/>
        <v>#DIV/0!</v>
      </c>
      <c r="U32" s="37" t="e">
        <f t="shared" si="15"/>
        <v>#DIV/0!</v>
      </c>
      <c r="V32" s="38" t="e">
        <f t="shared" si="16"/>
        <v>#DIV/0!</v>
      </c>
      <c r="W32" s="39" t="e">
        <f t="shared" si="17"/>
        <v>#DIV/0!</v>
      </c>
      <c r="X32" s="39" t="e">
        <f t="shared" si="18"/>
        <v>#DIV/0!</v>
      </c>
      <c r="Y32" s="40" t="e">
        <f t="shared" si="3"/>
        <v>#DIV/0!</v>
      </c>
      <c r="Z32" s="40" t="e">
        <f t="shared" si="4"/>
        <v>#DIV/0!</v>
      </c>
    </row>
    <row r="33" spans="1:26">
      <c r="A33" s="27" t="str">
        <f>Jar_Information!B18</f>
        <v>Peat-5-5-95</v>
      </c>
      <c r="B33" s="75"/>
      <c r="C33" s="3"/>
      <c r="D33" s="3"/>
      <c r="E33" s="3"/>
      <c r="F33" s="7" t="e">
        <f t="shared" si="6"/>
        <v>#DIV/0!</v>
      </c>
      <c r="G33" s="7" t="e">
        <f t="shared" si="7"/>
        <v>#DIV/0!</v>
      </c>
      <c r="H33" s="72">
        <v>0.64583333333333337</v>
      </c>
      <c r="I33" s="69" t="str">
        <f>Jar_Information!M18</f>
        <v>16/05/24 15:15</v>
      </c>
      <c r="J33" s="7">
        <f t="shared" si="1"/>
        <v>-42514.635416666664</v>
      </c>
      <c r="K33" s="31">
        <f t="shared" si="8"/>
        <v>-1020351.25</v>
      </c>
      <c r="L33" s="32" t="e">
        <f>[2]Jar_Information!H18</f>
        <v>#REF!</v>
      </c>
      <c r="M33" s="31" t="e">
        <f t="shared" si="9"/>
        <v>#DIV/0!</v>
      </c>
      <c r="N33" s="31" t="e">
        <f t="shared" si="10"/>
        <v>#DIV/0!</v>
      </c>
      <c r="O33" s="33" t="e">
        <f t="shared" si="2"/>
        <v>#DIV/0!</v>
      </c>
      <c r="P33" s="34" t="e">
        <f t="shared" si="11"/>
        <v>#DIV/0!</v>
      </c>
      <c r="Q33" s="35"/>
      <c r="R33" s="35">
        <f t="shared" si="12"/>
        <v>0</v>
      </c>
      <c r="S33" s="35" t="e">
        <f t="shared" si="13"/>
        <v>#DIV/0!</v>
      </c>
      <c r="T33" s="36" t="e">
        <f t="shared" si="14"/>
        <v>#DIV/0!</v>
      </c>
      <c r="U33" s="37" t="e">
        <f t="shared" si="15"/>
        <v>#DIV/0!</v>
      </c>
      <c r="V33" s="38" t="e">
        <f t="shared" si="16"/>
        <v>#DIV/0!</v>
      </c>
      <c r="W33" s="39" t="e">
        <f t="shared" si="17"/>
        <v>#DIV/0!</v>
      </c>
      <c r="X33" s="39" t="e">
        <f t="shared" si="18"/>
        <v>#DIV/0!</v>
      </c>
      <c r="Y33" s="40" t="e">
        <f t="shared" si="3"/>
        <v>#DIV/0!</v>
      </c>
      <c r="Z33" s="40" t="e">
        <f t="shared" si="4"/>
        <v>#DIV/0!</v>
      </c>
    </row>
    <row r="34" spans="1:26">
      <c r="A34" s="27" t="str">
        <f>Jar_Information!B19</f>
        <v>Peat-1-5-60</v>
      </c>
      <c r="B34" s="75"/>
      <c r="C34" s="3"/>
      <c r="D34" s="3"/>
      <c r="E34" s="3"/>
      <c r="F34" s="7" t="e">
        <f t="shared" si="6"/>
        <v>#DIV/0!</v>
      </c>
      <c r="G34" s="7" t="e">
        <f t="shared" si="7"/>
        <v>#DIV/0!</v>
      </c>
      <c r="H34" s="72">
        <v>0.64583333333333337</v>
      </c>
      <c r="I34" s="69" t="str">
        <f>Jar_Information!M19</f>
        <v>16/05/24 15:16</v>
      </c>
      <c r="J34" s="7">
        <f t="shared" si="1"/>
        <v>-42514.636111111111</v>
      </c>
      <c r="K34" s="31">
        <f t="shared" si="8"/>
        <v>-1020351.2666666666</v>
      </c>
      <c r="L34" s="32" t="e">
        <f>[2]Jar_Information!H19</f>
        <v>#REF!</v>
      </c>
      <c r="M34" s="31" t="e">
        <f t="shared" si="9"/>
        <v>#DIV/0!</v>
      </c>
      <c r="N34" s="31" t="e">
        <f t="shared" si="10"/>
        <v>#DIV/0!</v>
      </c>
      <c r="O34" s="33" t="e">
        <f t="shared" si="2"/>
        <v>#DIV/0!</v>
      </c>
      <c r="P34" s="34" t="e">
        <f t="shared" si="11"/>
        <v>#DIV/0!</v>
      </c>
      <c r="Q34" s="35"/>
      <c r="R34" s="35">
        <f t="shared" si="12"/>
        <v>0</v>
      </c>
      <c r="S34" s="35" t="e">
        <f t="shared" si="13"/>
        <v>#DIV/0!</v>
      </c>
      <c r="T34" s="36" t="e">
        <f t="shared" si="14"/>
        <v>#DIV/0!</v>
      </c>
      <c r="U34" s="37" t="e">
        <f t="shared" si="15"/>
        <v>#DIV/0!</v>
      </c>
      <c r="V34" s="38" t="e">
        <f t="shared" si="16"/>
        <v>#DIV/0!</v>
      </c>
      <c r="W34" s="39" t="e">
        <f t="shared" si="17"/>
        <v>#DIV/0!</v>
      </c>
      <c r="X34" s="39" t="e">
        <f t="shared" si="18"/>
        <v>#DIV/0!</v>
      </c>
      <c r="Y34" s="40" t="e">
        <f t="shared" si="3"/>
        <v>#DIV/0!</v>
      </c>
      <c r="Z34" s="40" t="e">
        <f t="shared" si="4"/>
        <v>#DIV/0!</v>
      </c>
    </row>
    <row r="35" spans="1:26">
      <c r="A35" s="27" t="str">
        <f>Jar_Information!B20</f>
        <v>Peat-2-5-60</v>
      </c>
      <c r="B35" s="75"/>
      <c r="C35" s="3"/>
      <c r="D35" s="16"/>
      <c r="E35" s="16"/>
      <c r="F35" s="7" t="e">
        <f t="shared" si="6"/>
        <v>#DIV/0!</v>
      </c>
      <c r="G35" s="7" t="e">
        <f t="shared" si="7"/>
        <v>#DIV/0!</v>
      </c>
      <c r="H35" s="72">
        <v>0.64583333333333337</v>
      </c>
      <c r="I35" s="69" t="str">
        <f>Jar_Information!M20</f>
        <v>16/05/24 15:17</v>
      </c>
      <c r="J35" s="7">
        <f t="shared" si="1"/>
        <v>-42514.636805555558</v>
      </c>
      <c r="K35" s="31">
        <f t="shared" si="8"/>
        <v>-1020351.2833333334</v>
      </c>
      <c r="L35" s="32" t="e">
        <f>[2]Jar_Information!H20</f>
        <v>#REF!</v>
      </c>
      <c r="M35" s="31" t="e">
        <f t="shared" si="9"/>
        <v>#DIV/0!</v>
      </c>
      <c r="N35" s="31" t="e">
        <f t="shared" si="10"/>
        <v>#DIV/0!</v>
      </c>
      <c r="O35" s="33" t="e">
        <f t="shared" si="2"/>
        <v>#DIV/0!</v>
      </c>
      <c r="P35" s="34" t="e">
        <f t="shared" si="11"/>
        <v>#DIV/0!</v>
      </c>
      <c r="R35" s="35">
        <f t="shared" si="12"/>
        <v>0</v>
      </c>
      <c r="S35" s="35" t="e">
        <f t="shared" si="13"/>
        <v>#DIV/0!</v>
      </c>
      <c r="T35" s="36" t="e">
        <f t="shared" si="14"/>
        <v>#DIV/0!</v>
      </c>
      <c r="U35" s="37" t="e">
        <f t="shared" si="15"/>
        <v>#DIV/0!</v>
      </c>
      <c r="V35" s="38" t="e">
        <f t="shared" si="16"/>
        <v>#DIV/0!</v>
      </c>
      <c r="W35" s="39" t="e">
        <f t="shared" si="17"/>
        <v>#DIV/0!</v>
      </c>
      <c r="X35" s="39" t="e">
        <f t="shared" si="18"/>
        <v>#DIV/0!</v>
      </c>
      <c r="Y35" s="40" t="e">
        <f t="shared" si="3"/>
        <v>#DIV/0!</v>
      </c>
      <c r="Z35" s="40" t="e">
        <f t="shared" si="4"/>
        <v>#DIV/0!</v>
      </c>
    </row>
    <row r="36" spans="1:26">
      <c r="A36" s="27" t="str">
        <f>Jar_Information!B21</f>
        <v>Peat-3-5-60</v>
      </c>
      <c r="B36" s="75"/>
      <c r="C36" s="3"/>
      <c r="D36" s="16"/>
      <c r="E36" s="16"/>
      <c r="F36" s="7" t="e">
        <f t="shared" si="6"/>
        <v>#DIV/0!</v>
      </c>
      <c r="G36" s="7" t="e">
        <f t="shared" si="7"/>
        <v>#DIV/0!</v>
      </c>
      <c r="H36" s="72">
        <v>0.64583333333333337</v>
      </c>
      <c r="I36" s="69" t="str">
        <f>Jar_Information!M21</f>
        <v>16/05/24 15:18</v>
      </c>
      <c r="J36" s="7">
        <f t="shared" si="1"/>
        <v>-42514.637499999997</v>
      </c>
      <c r="K36" s="31">
        <f t="shared" si="8"/>
        <v>-1020351.2999999999</v>
      </c>
      <c r="L36" s="32" t="e">
        <f>[2]Jar_Information!H21</f>
        <v>#REF!</v>
      </c>
      <c r="M36" s="31" t="e">
        <f t="shared" si="9"/>
        <v>#DIV/0!</v>
      </c>
      <c r="N36" s="31" t="e">
        <f t="shared" si="10"/>
        <v>#DIV/0!</v>
      </c>
      <c r="O36" s="33" t="e">
        <f t="shared" si="2"/>
        <v>#DIV/0!</v>
      </c>
      <c r="P36" s="34" t="e">
        <f t="shared" si="11"/>
        <v>#DIV/0!</v>
      </c>
      <c r="R36" s="35">
        <f t="shared" si="12"/>
        <v>0</v>
      </c>
      <c r="S36" s="35" t="e">
        <f t="shared" si="13"/>
        <v>#DIV/0!</v>
      </c>
      <c r="T36" s="36" t="e">
        <f t="shared" si="14"/>
        <v>#DIV/0!</v>
      </c>
      <c r="U36" s="37" t="e">
        <f t="shared" si="15"/>
        <v>#DIV/0!</v>
      </c>
      <c r="V36" s="38" t="e">
        <f t="shared" si="16"/>
        <v>#DIV/0!</v>
      </c>
      <c r="W36" s="39" t="e">
        <f t="shared" si="17"/>
        <v>#DIV/0!</v>
      </c>
      <c r="X36" s="39" t="e">
        <f t="shared" si="18"/>
        <v>#DIV/0!</v>
      </c>
      <c r="Y36" s="40" t="e">
        <f t="shared" si="3"/>
        <v>#DIV/0!</v>
      </c>
      <c r="Z36" s="40" t="e">
        <f t="shared" si="4"/>
        <v>#DIV/0!</v>
      </c>
    </row>
    <row r="37" spans="1:26">
      <c r="A37" s="27" t="str">
        <f>Jar_Information!B22</f>
        <v>Peat-4-5-60</v>
      </c>
      <c r="B37" s="75"/>
      <c r="C37" s="3"/>
      <c r="D37" s="16"/>
      <c r="E37" s="16"/>
      <c r="F37" s="7" t="e">
        <f t="shared" si="6"/>
        <v>#DIV/0!</v>
      </c>
      <c r="G37" s="7" t="e">
        <f t="shared" si="7"/>
        <v>#DIV/0!</v>
      </c>
      <c r="H37" s="72">
        <v>0.64583333333333337</v>
      </c>
      <c r="I37" s="69" t="str">
        <f>Jar_Information!M22</f>
        <v>16/05/24 15:19</v>
      </c>
      <c r="J37" s="7">
        <f t="shared" si="1"/>
        <v>-42514.638194444444</v>
      </c>
      <c r="K37" s="31">
        <f t="shared" si="8"/>
        <v>-1020351.3166666667</v>
      </c>
      <c r="L37" s="32" t="e">
        <f>[2]Jar_Information!H22</f>
        <v>#REF!</v>
      </c>
      <c r="M37" s="31" t="e">
        <f t="shared" si="9"/>
        <v>#DIV/0!</v>
      </c>
      <c r="N37" s="31" t="e">
        <f t="shared" si="10"/>
        <v>#DIV/0!</v>
      </c>
      <c r="O37" s="33" t="e">
        <f t="shared" si="2"/>
        <v>#DIV/0!</v>
      </c>
      <c r="P37" s="34" t="e">
        <f t="shared" si="11"/>
        <v>#DIV/0!</v>
      </c>
      <c r="R37" s="35">
        <f t="shared" si="12"/>
        <v>0</v>
      </c>
      <c r="S37" s="35" t="e">
        <f t="shared" si="13"/>
        <v>#DIV/0!</v>
      </c>
      <c r="T37" s="36" t="e">
        <f t="shared" si="14"/>
        <v>#DIV/0!</v>
      </c>
      <c r="U37" s="37" t="e">
        <f t="shared" si="15"/>
        <v>#DIV/0!</v>
      </c>
      <c r="V37" s="38" t="e">
        <f t="shared" si="16"/>
        <v>#DIV/0!</v>
      </c>
      <c r="W37" s="39" t="e">
        <f t="shared" si="17"/>
        <v>#DIV/0!</v>
      </c>
      <c r="X37" s="39" t="e">
        <f t="shared" si="18"/>
        <v>#DIV/0!</v>
      </c>
      <c r="Y37" s="40" t="e">
        <f t="shared" si="3"/>
        <v>#DIV/0!</v>
      </c>
      <c r="Z37" s="40" t="e">
        <f t="shared" si="4"/>
        <v>#DIV/0!</v>
      </c>
    </row>
    <row r="38" spans="1:26">
      <c r="A38" s="27" t="str">
        <f>Jar_Information!B23</f>
        <v>Peat-5-5-60</v>
      </c>
      <c r="B38" s="75"/>
      <c r="C38" s="3"/>
      <c r="D38" s="16"/>
      <c r="E38" s="16"/>
      <c r="F38" s="7" t="e">
        <f t="shared" si="6"/>
        <v>#DIV/0!</v>
      </c>
      <c r="G38" s="7" t="e">
        <f t="shared" si="7"/>
        <v>#DIV/0!</v>
      </c>
      <c r="H38" s="72">
        <v>0.64583333333333337</v>
      </c>
      <c r="I38" s="69" t="str">
        <f>Jar_Information!M23</f>
        <v>16/05/24 15:20</v>
      </c>
      <c r="J38" s="7">
        <f t="shared" si="1"/>
        <v>-42514.638888888891</v>
      </c>
      <c r="K38" s="31">
        <f t="shared" si="8"/>
        <v>-1020351.3333333334</v>
      </c>
      <c r="L38" s="32" t="e">
        <f>[2]Jar_Information!H23</f>
        <v>#REF!</v>
      </c>
      <c r="M38" s="31" t="e">
        <f t="shared" si="9"/>
        <v>#DIV/0!</v>
      </c>
      <c r="N38" s="31" t="e">
        <f t="shared" si="10"/>
        <v>#DIV/0!</v>
      </c>
      <c r="O38" s="33" t="e">
        <f t="shared" si="2"/>
        <v>#DIV/0!</v>
      </c>
      <c r="P38" s="34" t="e">
        <f t="shared" si="11"/>
        <v>#DIV/0!</v>
      </c>
      <c r="R38" s="35">
        <f t="shared" si="12"/>
        <v>0</v>
      </c>
      <c r="S38" s="35" t="e">
        <f t="shared" si="13"/>
        <v>#DIV/0!</v>
      </c>
      <c r="T38" s="36" t="e">
        <f t="shared" si="14"/>
        <v>#DIV/0!</v>
      </c>
      <c r="U38" s="37" t="e">
        <f t="shared" si="15"/>
        <v>#DIV/0!</v>
      </c>
      <c r="V38" s="38" t="e">
        <f t="shared" si="16"/>
        <v>#DIV/0!</v>
      </c>
      <c r="W38" s="39" t="e">
        <f t="shared" si="17"/>
        <v>#DIV/0!</v>
      </c>
      <c r="X38" s="39" t="e">
        <f t="shared" si="18"/>
        <v>#DIV/0!</v>
      </c>
      <c r="Y38" s="40" t="e">
        <f t="shared" si="3"/>
        <v>#DIV/0!</v>
      </c>
      <c r="Z38" s="40" t="e">
        <f t="shared" si="4"/>
        <v>#DIV/0!</v>
      </c>
    </row>
    <row r="39" spans="1:26">
      <c r="A39" s="27" t="str">
        <f>Jar_Information!B24</f>
        <v>Peat-Blank-5</v>
      </c>
      <c r="B39" s="75"/>
      <c r="C39" s="3"/>
      <c r="D39" s="16"/>
      <c r="E39" s="16"/>
      <c r="F39" s="7" t="e">
        <f t="shared" si="6"/>
        <v>#DIV/0!</v>
      </c>
      <c r="G39" s="7" t="e">
        <f t="shared" si="7"/>
        <v>#DIV/0!</v>
      </c>
      <c r="H39" s="72">
        <v>0.64583333333333337</v>
      </c>
      <c r="I39" s="69" t="str">
        <f>Jar_Information!M24</f>
        <v>16/05/24 15:21</v>
      </c>
      <c r="J39" s="7">
        <f t="shared" si="1"/>
        <v>-42514.63958333333</v>
      </c>
      <c r="K39" s="31">
        <f t="shared" si="8"/>
        <v>-1020351.3499999999</v>
      </c>
      <c r="L39" s="32" t="e">
        <f>[2]Jar_Information!H24</f>
        <v>#REF!</v>
      </c>
      <c r="M39" s="31" t="e">
        <f t="shared" si="9"/>
        <v>#DIV/0!</v>
      </c>
      <c r="N39" s="31" t="e">
        <f t="shared" si="10"/>
        <v>#DIV/0!</v>
      </c>
      <c r="O39" s="33" t="e">
        <f t="shared" si="2"/>
        <v>#DIV/0!</v>
      </c>
      <c r="P39" s="34" t="e">
        <f t="shared" si="11"/>
        <v>#DIV/0!</v>
      </c>
      <c r="R39" s="35">
        <f t="shared" si="12"/>
        <v>0</v>
      </c>
      <c r="S39" s="35" t="e">
        <f t="shared" si="13"/>
        <v>#DIV/0!</v>
      </c>
      <c r="T39" s="36" t="e">
        <f t="shared" si="14"/>
        <v>#DIV/0!</v>
      </c>
      <c r="U39" s="37" t="e">
        <f t="shared" si="15"/>
        <v>#DIV/0!</v>
      </c>
      <c r="V39" s="38" t="e">
        <f t="shared" si="16"/>
        <v>#DIV/0!</v>
      </c>
      <c r="W39" s="39" t="e">
        <f t="shared" si="17"/>
        <v>#DIV/0!</v>
      </c>
      <c r="X39" s="39" t="e">
        <f t="shared" si="18"/>
        <v>#DIV/0!</v>
      </c>
      <c r="Y39" s="40" t="e">
        <f t="shared" si="3"/>
        <v>#DIV/0!</v>
      </c>
      <c r="Z39" s="40" t="e">
        <f t="shared" si="4"/>
        <v>#DIV/0!</v>
      </c>
    </row>
    <row r="40" spans="1:26">
      <c r="A40" s="27"/>
      <c r="B40" s="28"/>
      <c r="C40" s="3"/>
      <c r="D40" s="16"/>
      <c r="E40" s="16"/>
      <c r="F40" s="7"/>
      <c r="G40" s="7"/>
      <c r="H40" s="29"/>
      <c r="I40" s="30"/>
      <c r="J40" s="7"/>
      <c r="K40" s="31"/>
      <c r="L40" s="32"/>
      <c r="M40" s="31"/>
      <c r="N40" s="31"/>
      <c r="O40" s="33"/>
      <c r="P40" s="34"/>
      <c r="R40" s="35"/>
      <c r="S40" s="35"/>
      <c r="T40" s="36"/>
      <c r="U40" s="37"/>
      <c r="V40" s="38"/>
      <c r="W40" s="39"/>
      <c r="X40" s="39"/>
      <c r="Y40" s="40"/>
      <c r="Z40" s="40"/>
    </row>
    <row r="41" spans="1:26">
      <c r="A41" s="27"/>
      <c r="B41" s="28"/>
      <c r="C41" s="3"/>
      <c r="D41" s="16"/>
      <c r="E41" s="16"/>
      <c r="F41" s="7"/>
      <c r="G41" s="7"/>
      <c r="H41" s="29"/>
      <c r="I41" s="30"/>
      <c r="J41" s="7"/>
      <c r="K41" s="31"/>
      <c r="L41" s="32"/>
      <c r="M41" s="31"/>
      <c r="N41" s="31"/>
      <c r="O41" s="33"/>
      <c r="P41" s="34"/>
      <c r="R41" s="35"/>
      <c r="S41" s="35"/>
      <c r="T41" s="36"/>
      <c r="U41" s="37"/>
      <c r="V41" s="38"/>
      <c r="W41" s="39"/>
      <c r="X41" s="39"/>
      <c r="Y41" s="40"/>
      <c r="Z41" s="40"/>
    </row>
    <row r="42" spans="1:26">
      <c r="A42" s="27"/>
    </row>
    <row r="43" spans="1:26">
      <c r="A43" s="27"/>
    </row>
  </sheetData>
  <mergeCells count="1">
    <mergeCell ref="W13:Z13"/>
  </mergeCells>
  <conditionalFormatting sqref="O18:O3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3ac2a8-763a-4f3b-8d84-d07a01412c60">
      <Terms xmlns="http://schemas.microsoft.com/office/infopath/2007/PartnerControls"/>
    </lcf76f155ced4ddcb4097134ff3c332f>
    <TaxCatchAll xmlns="cda99549-5565-4312-83cc-1590218f1c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3E0FD616BD640914997A296EC2AF6" ma:contentTypeVersion="18" ma:contentTypeDescription="Create a new document." ma:contentTypeScope="" ma:versionID="6708acf2019f998e5e1d23bc83f66e32">
  <xsd:schema xmlns:xsd="http://www.w3.org/2001/XMLSchema" xmlns:xs="http://www.w3.org/2001/XMLSchema" xmlns:p="http://schemas.microsoft.com/office/2006/metadata/properties" xmlns:ns2="923ac2a8-763a-4f3b-8d84-d07a01412c60" xmlns:ns3="cda99549-5565-4312-83cc-1590218f1c43" targetNamespace="http://schemas.microsoft.com/office/2006/metadata/properties" ma:root="true" ma:fieldsID="a21e1d34590a24c3546372c522844847" ns2:_="" ns3:_="">
    <xsd:import namespace="923ac2a8-763a-4f3b-8d84-d07a01412c60"/>
    <xsd:import namespace="cda99549-5565-4312-83cc-1590218f1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ac2a8-763a-4f3b-8d84-d07a01412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99549-5565-4312-83cc-1590218f1c4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0108fed-40ae-4578-9ae7-e20d616d7a70}" ma:internalName="TaxCatchAll" ma:showField="CatchAllData" ma:web="cda99549-5565-4312-83cc-1590218f1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4DA2A1-5C8C-476B-AC30-8BCE909F7AA2}"/>
</file>

<file path=customXml/itemProps2.xml><?xml version="1.0" encoding="utf-8"?>
<ds:datastoreItem xmlns:ds="http://schemas.openxmlformats.org/officeDocument/2006/customXml" ds:itemID="{BBCD5B91-EB7B-411F-B380-7B72AAD4E641}"/>
</file>

<file path=customXml/itemProps3.xml><?xml version="1.0" encoding="utf-8"?>
<ds:datastoreItem xmlns:ds="http://schemas.openxmlformats.org/officeDocument/2006/customXml" ds:itemID="{3AAA06C4-781C-4483-88B0-BAED23FEAD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Nel, T, Mej [19779437@sun.ac.za]</cp:lastModifiedBy>
  <cp:revision/>
  <dcterms:created xsi:type="dcterms:W3CDTF">2021-12-10T10:58:47Z</dcterms:created>
  <dcterms:modified xsi:type="dcterms:W3CDTF">2024-05-30T06:52:50Z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0x01010012B3E0FD616BD640914997A296EC2AF6</vt:lpwstr>
  </property>
  <property fmtid="{D5CDD505-2E9C-101B-9397-08002B2CF9AE}" pid="3" name="MediaServiceImageTags">
    <vt:lpwstr/>
  </property>
</Properties>
</file>