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24226"/>
  <xr:revisionPtr revIDLastSave="0" documentId="13_ncr:1_{C0A3F52D-1CC5-4849-9534-0B00BFF62298}" xr6:coauthVersionLast="43" xr6:coauthVersionMax="43" xr10:uidLastSave="{00000000-0000-0000-0000-000000000000}"/>
  <bookViews>
    <workbookView xWindow="-120" yWindow="-120" windowWidth="20730" windowHeight="11160" tabRatio="772" activeTab="11" xr2:uid="{00000000-000D-0000-FFFF-FFFF00000000}"/>
  </bookViews>
  <sheets>
    <sheet name="data" sheetId="2" r:id="rId1"/>
    <sheet name="Basic Case" sheetId="3" r:id="rId2"/>
    <sheet name="R_up" sheetId="5" r:id="rId3"/>
    <sheet name="R_down" sheetId="6" r:id="rId4"/>
    <sheet name="Equity" sheetId="7" r:id="rId5"/>
    <sheet name="Market spread" sheetId="8" r:id="rId6"/>
    <sheet name="Mortality" sheetId="9" r:id="rId7"/>
    <sheet name="Lapse up" sheetId="10" r:id="rId8"/>
    <sheet name="Lapse down" sheetId="12" r:id="rId9"/>
    <sheet name="Lapse mass" sheetId="13" r:id="rId10"/>
    <sheet name="Cat" sheetId="14" r:id="rId11"/>
    <sheet name="SCR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4" l="1"/>
  <c r="I8" i="14"/>
  <c r="I9" i="14"/>
  <c r="I10" i="14"/>
  <c r="I11" i="14"/>
  <c r="I12" i="14"/>
  <c r="I13" i="14"/>
  <c r="I6" i="14"/>
  <c r="Q7" i="14"/>
  <c r="Q8" i="14"/>
  <c r="Q9" i="14"/>
  <c r="Q10" i="14"/>
  <c r="Q11" i="14"/>
  <c r="Q12" i="14"/>
  <c r="Q13" i="14"/>
  <c r="Q6" i="14"/>
  <c r="N18" i="15"/>
  <c r="M18" i="15"/>
  <c r="L18" i="15" a="1"/>
  <c r="L18" i="15" s="1"/>
  <c r="L20" i="15" l="1"/>
  <c r="L19" i="15"/>
  <c r="C11" i="15"/>
  <c r="D12" i="15"/>
  <c r="J5" i="9" l="1"/>
  <c r="J7" i="8"/>
  <c r="J7" i="7"/>
  <c r="J5" i="6"/>
  <c r="K5" i="6" s="1"/>
  <c r="R6" i="5"/>
  <c r="R5" i="5"/>
  <c r="J6" i="5"/>
  <c r="K6" i="5" s="1"/>
  <c r="J5" i="5"/>
  <c r="J5" i="3"/>
  <c r="R5" i="6"/>
  <c r="K7" i="6"/>
  <c r="K6" i="6"/>
  <c r="K8" i="6"/>
  <c r="K9" i="6"/>
  <c r="K10" i="6"/>
  <c r="K11" i="6"/>
  <c r="K12" i="6"/>
  <c r="K13" i="6"/>
  <c r="K14" i="6"/>
  <c r="K9" i="14" l="1"/>
  <c r="J9" i="14"/>
  <c r="T6" i="14"/>
  <c r="R7" i="14"/>
  <c r="L7" i="14"/>
  <c r="M7" i="14" s="1"/>
  <c r="K7" i="14"/>
  <c r="L6" i="14"/>
  <c r="I8" i="13" l="1"/>
  <c r="I9" i="13"/>
  <c r="I10" i="13"/>
  <c r="I11" i="13"/>
  <c r="I12" i="13"/>
  <c r="I13" i="13"/>
  <c r="I14" i="13"/>
  <c r="I15" i="13"/>
  <c r="I7" i="13"/>
  <c r="H16" i="13"/>
  <c r="H8" i="13"/>
  <c r="H9" i="13"/>
  <c r="H10" i="13"/>
  <c r="H11" i="13"/>
  <c r="H12" i="13"/>
  <c r="H13" i="13"/>
  <c r="H14" i="13"/>
  <c r="H15" i="13"/>
  <c r="H7" i="13"/>
  <c r="I8" i="12"/>
  <c r="I9" i="12"/>
  <c r="I10" i="12"/>
  <c r="I11" i="12"/>
  <c r="I12" i="12"/>
  <c r="I13" i="12"/>
  <c r="I14" i="12"/>
  <c r="I15" i="12"/>
  <c r="I7" i="12"/>
  <c r="H8" i="12"/>
  <c r="H9" i="12"/>
  <c r="H10" i="12"/>
  <c r="H11" i="12"/>
  <c r="H12" i="12"/>
  <c r="H13" i="12"/>
  <c r="H14" i="12"/>
  <c r="H15" i="12"/>
  <c r="H16" i="12"/>
  <c r="H7" i="12"/>
  <c r="I8" i="10"/>
  <c r="I9" i="10"/>
  <c r="I10" i="10"/>
  <c r="I11" i="10"/>
  <c r="I12" i="10"/>
  <c r="I13" i="10"/>
  <c r="I14" i="10"/>
  <c r="I15" i="10"/>
  <c r="I7" i="10"/>
  <c r="H8" i="10"/>
  <c r="H9" i="10"/>
  <c r="H10" i="10"/>
  <c r="H11" i="10"/>
  <c r="H12" i="10"/>
  <c r="H13" i="10"/>
  <c r="H14" i="10"/>
  <c r="H15" i="10"/>
  <c r="H16" i="10"/>
  <c r="H7" i="10"/>
  <c r="I5" i="9"/>
  <c r="I8" i="8"/>
  <c r="I9" i="8"/>
  <c r="I10" i="8"/>
  <c r="I11" i="8"/>
  <c r="I12" i="8"/>
  <c r="I13" i="8"/>
  <c r="I14" i="8"/>
  <c r="I15" i="8"/>
  <c r="I7" i="8"/>
  <c r="H8" i="8"/>
  <c r="H9" i="8"/>
  <c r="H10" i="8"/>
  <c r="H11" i="8"/>
  <c r="H12" i="8"/>
  <c r="H13" i="8"/>
  <c r="H14" i="8"/>
  <c r="H15" i="8"/>
  <c r="H16" i="8"/>
  <c r="H7" i="8"/>
  <c r="H8" i="7"/>
  <c r="H9" i="7"/>
  <c r="H10" i="7"/>
  <c r="H11" i="7"/>
  <c r="H12" i="7"/>
  <c r="H13" i="7"/>
  <c r="H14" i="7"/>
  <c r="H15" i="7"/>
  <c r="H16" i="7"/>
  <c r="H7" i="7"/>
  <c r="I8" i="7"/>
  <c r="I9" i="7"/>
  <c r="I10" i="7"/>
  <c r="I11" i="7"/>
  <c r="I12" i="7"/>
  <c r="I13" i="7"/>
  <c r="I14" i="7"/>
  <c r="I15" i="7"/>
  <c r="I7" i="7"/>
  <c r="D4" i="3"/>
  <c r="D5" i="3" s="1"/>
  <c r="D8" i="7" l="1"/>
  <c r="D9" i="7"/>
  <c r="D10" i="7"/>
  <c r="D11" i="7"/>
  <c r="D12" i="7"/>
  <c r="D13" i="7"/>
  <c r="D14" i="7"/>
  <c r="D15" i="7"/>
  <c r="D16" i="7"/>
  <c r="D7" i="7"/>
  <c r="D8" i="3"/>
  <c r="B4" i="3"/>
  <c r="B14" i="3" s="1"/>
  <c r="L12" i="2"/>
  <c r="B3" i="7"/>
  <c r="B3" i="8"/>
  <c r="E3" i="8" s="1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18" i="2"/>
  <c r="C17" i="2"/>
  <c r="C16" i="2"/>
  <c r="C15" i="2"/>
  <c r="C14" i="2"/>
  <c r="C13" i="2"/>
  <c r="C11" i="2"/>
  <c r="C10" i="2"/>
  <c r="C9" i="2"/>
  <c r="C8" i="2"/>
  <c r="C7" i="2"/>
  <c r="C6" i="2"/>
  <c r="C5" i="2"/>
  <c r="C4" i="2"/>
  <c r="H14" i="14" l="1"/>
  <c r="P14" i="14"/>
  <c r="H13" i="14"/>
  <c r="P13" i="14"/>
  <c r="H12" i="14"/>
  <c r="P12" i="14"/>
  <c r="H11" i="14"/>
  <c r="P11" i="14"/>
  <c r="H10" i="14"/>
  <c r="P10" i="14"/>
  <c r="H9" i="14"/>
  <c r="P9" i="14"/>
  <c r="H8" i="14"/>
  <c r="P8" i="14"/>
  <c r="H7" i="14"/>
  <c r="P7" i="14"/>
  <c r="H6" i="14"/>
  <c r="P6" i="14"/>
  <c r="H5" i="14"/>
  <c r="P5" i="14"/>
  <c r="D4" i="14"/>
  <c r="D11" i="14" s="1"/>
  <c r="B3" i="13"/>
  <c r="P16" i="13"/>
  <c r="P15" i="13"/>
  <c r="D15" i="13"/>
  <c r="P14" i="13"/>
  <c r="P13" i="13"/>
  <c r="D13" i="13"/>
  <c r="P12" i="13"/>
  <c r="P11" i="13"/>
  <c r="P10" i="13"/>
  <c r="P9" i="13"/>
  <c r="D9" i="13"/>
  <c r="P8" i="13"/>
  <c r="D8" i="13"/>
  <c r="P7" i="13"/>
  <c r="D7" i="13"/>
  <c r="D6" i="13"/>
  <c r="D14" i="13" s="1"/>
  <c r="B3" i="12"/>
  <c r="P16" i="12"/>
  <c r="P15" i="12"/>
  <c r="D15" i="12"/>
  <c r="P14" i="12"/>
  <c r="P13" i="12"/>
  <c r="P12" i="12"/>
  <c r="D12" i="12"/>
  <c r="P11" i="12"/>
  <c r="P10" i="12"/>
  <c r="P9" i="12"/>
  <c r="P8" i="12"/>
  <c r="D8" i="12"/>
  <c r="P7" i="12"/>
  <c r="D6" i="12"/>
  <c r="D13" i="12" s="1"/>
  <c r="B3" i="10"/>
  <c r="P16" i="10"/>
  <c r="P15" i="10"/>
  <c r="P14" i="10"/>
  <c r="P13" i="10"/>
  <c r="P12" i="10"/>
  <c r="P11" i="10"/>
  <c r="P10" i="10"/>
  <c r="P9" i="10"/>
  <c r="P8" i="10"/>
  <c r="P7" i="10"/>
  <c r="D6" i="10"/>
  <c r="D13" i="10" s="1"/>
  <c r="H14" i="9"/>
  <c r="P14" i="9"/>
  <c r="H13" i="9"/>
  <c r="P13" i="9"/>
  <c r="H12" i="9"/>
  <c r="P12" i="9"/>
  <c r="H11" i="9"/>
  <c r="P11" i="9"/>
  <c r="H10" i="9"/>
  <c r="P10" i="9"/>
  <c r="H9" i="9"/>
  <c r="P9" i="9"/>
  <c r="H8" i="9"/>
  <c r="P8" i="9"/>
  <c r="H7" i="9"/>
  <c r="P7" i="9"/>
  <c r="H6" i="9"/>
  <c r="P6" i="9"/>
  <c r="H5" i="9"/>
  <c r="P5" i="9"/>
  <c r="D4" i="9"/>
  <c r="D11" i="9" s="1"/>
  <c r="D6" i="8"/>
  <c r="P16" i="8"/>
  <c r="P15" i="8"/>
  <c r="P14" i="8"/>
  <c r="P13" i="8"/>
  <c r="P12" i="8"/>
  <c r="P11" i="8"/>
  <c r="P10" i="8"/>
  <c r="P9" i="8"/>
  <c r="P8" i="8"/>
  <c r="P7" i="8"/>
  <c r="D10" i="14" l="1"/>
  <c r="D16" i="12"/>
  <c r="D11" i="13"/>
  <c r="D16" i="13"/>
  <c r="D6" i="9"/>
  <c r="D8" i="10"/>
  <c r="D11" i="12"/>
  <c r="D12" i="13"/>
  <c r="D6" i="14"/>
  <c r="D10" i="9"/>
  <c r="D12" i="10"/>
  <c r="D14" i="9"/>
  <c r="D16" i="10"/>
  <c r="D14" i="14"/>
  <c r="D9" i="14"/>
  <c r="D13" i="14"/>
  <c r="D8" i="14"/>
  <c r="D12" i="14"/>
  <c r="D5" i="14"/>
  <c r="D7" i="14"/>
  <c r="D10" i="13"/>
  <c r="D10" i="12"/>
  <c r="D14" i="12"/>
  <c r="D7" i="12"/>
  <c r="D9" i="12"/>
  <c r="D11" i="10"/>
  <c r="D15" i="10"/>
  <c r="D10" i="10"/>
  <c r="D14" i="10"/>
  <c r="D7" i="10"/>
  <c r="D9" i="10"/>
  <c r="D9" i="9"/>
  <c r="D13" i="9"/>
  <c r="D8" i="9"/>
  <c r="D12" i="9"/>
  <c r="D5" i="9"/>
  <c r="D7" i="9"/>
  <c r="D13" i="8"/>
  <c r="D15" i="8"/>
  <c r="D11" i="8"/>
  <c r="D8" i="8"/>
  <c r="D12" i="8"/>
  <c r="D16" i="8"/>
  <c r="D10" i="8"/>
  <c r="D14" i="8"/>
  <c r="D7" i="8"/>
  <c r="D9" i="8"/>
  <c r="H6" i="6"/>
  <c r="H7" i="6"/>
  <c r="H8" i="6"/>
  <c r="H9" i="6"/>
  <c r="H10" i="6"/>
  <c r="H11" i="6"/>
  <c r="H12" i="6"/>
  <c r="H13" i="6"/>
  <c r="H14" i="6"/>
  <c r="H5" i="6"/>
  <c r="P8" i="7"/>
  <c r="P9" i="7"/>
  <c r="P10" i="7"/>
  <c r="P11" i="7"/>
  <c r="P12" i="7"/>
  <c r="P13" i="7"/>
  <c r="P14" i="7"/>
  <c r="P15" i="7"/>
  <c r="P16" i="7"/>
  <c r="P7" i="7"/>
  <c r="H6" i="5"/>
  <c r="H7" i="5"/>
  <c r="H8" i="5"/>
  <c r="H9" i="5"/>
  <c r="H10" i="5"/>
  <c r="H11" i="5"/>
  <c r="H12" i="5"/>
  <c r="H13" i="5"/>
  <c r="H14" i="5"/>
  <c r="H5" i="5"/>
  <c r="H6" i="3"/>
  <c r="H7" i="3"/>
  <c r="H8" i="3"/>
  <c r="H9" i="3"/>
  <c r="H10" i="3"/>
  <c r="H11" i="3"/>
  <c r="H12" i="3"/>
  <c r="H13" i="3"/>
  <c r="H14" i="3"/>
  <c r="H5" i="3"/>
  <c r="P5" i="3"/>
  <c r="B7" i="3" l="1"/>
  <c r="B5" i="3"/>
  <c r="B6" i="7"/>
  <c r="B14" i="7" s="1"/>
  <c r="B4" i="14"/>
  <c r="B6" i="10"/>
  <c r="B4" i="9"/>
  <c r="B6" i="13"/>
  <c r="B6" i="12"/>
  <c r="B6" i="3"/>
  <c r="B9" i="3"/>
  <c r="I11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B8" i="7" l="1"/>
  <c r="B10" i="7"/>
  <c r="B13" i="7"/>
  <c r="I5" i="14"/>
  <c r="Q7" i="12"/>
  <c r="S8" i="12" s="1"/>
  <c r="L6" i="9"/>
  <c r="Q7" i="8"/>
  <c r="S8" i="8" s="1"/>
  <c r="S9" i="8" s="1"/>
  <c r="S10" i="8" s="1"/>
  <c r="S11" i="8" s="1"/>
  <c r="S12" i="8" s="1"/>
  <c r="S13" i="8" s="1"/>
  <c r="S14" i="8" s="1"/>
  <c r="S15" i="8" s="1"/>
  <c r="S16" i="8" s="1"/>
  <c r="Q5" i="14"/>
  <c r="S6" i="14" s="1"/>
  <c r="Q7" i="10"/>
  <c r="Q5" i="9"/>
  <c r="S6" i="9" s="1"/>
  <c r="Q7" i="13"/>
  <c r="S8" i="13" s="1"/>
  <c r="I5" i="6"/>
  <c r="L6" i="6" s="1"/>
  <c r="Q5" i="6"/>
  <c r="S6" i="6" s="1"/>
  <c r="Q7" i="7"/>
  <c r="S8" i="7" s="1"/>
  <c r="Q5" i="5"/>
  <c r="S6" i="5" s="1"/>
  <c r="I5" i="3"/>
  <c r="L6" i="3" s="1"/>
  <c r="I5" i="5"/>
  <c r="L6" i="5" s="1"/>
  <c r="Q5" i="3"/>
  <c r="S6" i="3" s="1"/>
  <c r="B9" i="7"/>
  <c r="B15" i="7"/>
  <c r="C9" i="14"/>
  <c r="E9" i="14" s="1"/>
  <c r="C9" i="9"/>
  <c r="E9" i="9" s="1"/>
  <c r="B13" i="9"/>
  <c r="B10" i="9"/>
  <c r="B6" i="9"/>
  <c r="B12" i="9"/>
  <c r="B11" i="9"/>
  <c r="B7" i="9"/>
  <c r="B8" i="9"/>
  <c r="B5" i="9"/>
  <c r="B14" i="9"/>
  <c r="B9" i="9"/>
  <c r="Q11" i="12"/>
  <c r="Q11" i="10"/>
  <c r="Q9" i="9"/>
  <c r="Q11" i="8"/>
  <c r="I9" i="9"/>
  <c r="Q11" i="13"/>
  <c r="I9" i="6"/>
  <c r="Q9" i="5"/>
  <c r="I9" i="3"/>
  <c r="Q9" i="3"/>
  <c r="I9" i="5"/>
  <c r="Q11" i="7"/>
  <c r="Q9" i="6"/>
  <c r="B15" i="13"/>
  <c r="C15" i="13" s="1"/>
  <c r="E15" i="13" s="1"/>
  <c r="C6" i="13"/>
  <c r="E6" i="13" s="1"/>
  <c r="B8" i="13"/>
  <c r="C8" i="13" s="1"/>
  <c r="E8" i="13" s="1"/>
  <c r="B10" i="13"/>
  <c r="C10" i="13" s="1"/>
  <c r="E10" i="13" s="1"/>
  <c r="B7" i="13"/>
  <c r="C7" i="13" s="1"/>
  <c r="E7" i="13" s="1"/>
  <c r="B14" i="13"/>
  <c r="C14" i="13" s="1"/>
  <c r="E14" i="13" s="1"/>
  <c r="B16" i="13"/>
  <c r="C16" i="13" s="1"/>
  <c r="E16" i="13" s="1"/>
  <c r="B9" i="13"/>
  <c r="C9" i="13" s="1"/>
  <c r="E9" i="13" s="1"/>
  <c r="B12" i="13"/>
  <c r="C12" i="13" s="1"/>
  <c r="E12" i="13" s="1"/>
  <c r="B11" i="13"/>
  <c r="C11" i="13" s="1"/>
  <c r="E11" i="13" s="1"/>
  <c r="B13" i="13"/>
  <c r="C13" i="13" s="1"/>
  <c r="E13" i="13" s="1"/>
  <c r="Q14" i="8"/>
  <c r="Q12" i="9"/>
  <c r="I12" i="9"/>
  <c r="Q14" i="10"/>
  <c r="Q14" i="13"/>
  <c r="Q14" i="12"/>
  <c r="Q12" i="3"/>
  <c r="Q12" i="5"/>
  <c r="I12" i="6"/>
  <c r="Q14" i="7"/>
  <c r="Q12" i="6"/>
  <c r="I12" i="5"/>
  <c r="I12" i="3"/>
  <c r="Q13" i="8"/>
  <c r="Q13" i="10"/>
  <c r="I11" i="9"/>
  <c r="Q11" i="9"/>
  <c r="Q13" i="13"/>
  <c r="Q13" i="12"/>
  <c r="I11" i="5"/>
  <c r="Q13" i="7"/>
  <c r="Q11" i="3"/>
  <c r="Q11" i="6"/>
  <c r="I11" i="6"/>
  <c r="Q11" i="5"/>
  <c r="I11" i="3"/>
  <c r="Q9" i="10"/>
  <c r="Q9" i="8"/>
  <c r="L8" i="8"/>
  <c r="L8" i="13"/>
  <c r="I7" i="9"/>
  <c r="Q9" i="12"/>
  <c r="L8" i="12"/>
  <c r="L9" i="12" s="1"/>
  <c r="L10" i="12" s="1"/>
  <c r="Q7" i="9"/>
  <c r="Q9" i="13"/>
  <c r="I7" i="5"/>
  <c r="Q9" i="7"/>
  <c r="L8" i="7"/>
  <c r="L9" i="7" s="1"/>
  <c r="L10" i="7" s="1"/>
  <c r="L11" i="7" s="1"/>
  <c r="L12" i="7" s="1"/>
  <c r="L13" i="7" s="1"/>
  <c r="L14" i="7" s="1"/>
  <c r="L15" i="7" s="1"/>
  <c r="L16" i="7" s="1"/>
  <c r="Q7" i="6"/>
  <c r="I7" i="6"/>
  <c r="Q7" i="5"/>
  <c r="I7" i="3"/>
  <c r="Q7" i="3"/>
  <c r="B16" i="7"/>
  <c r="B11" i="7"/>
  <c r="C6" i="9"/>
  <c r="E6" i="9" s="1"/>
  <c r="C6" i="14"/>
  <c r="E6" i="14" s="1"/>
  <c r="B9" i="10"/>
  <c r="C9" i="10" s="1"/>
  <c r="E9" i="10" s="1"/>
  <c r="J9" i="10" s="1"/>
  <c r="K9" i="10" s="1"/>
  <c r="B13" i="10"/>
  <c r="C13" i="10" s="1"/>
  <c r="E13" i="10" s="1"/>
  <c r="B7" i="10"/>
  <c r="C7" i="10" s="1"/>
  <c r="E7" i="10" s="1"/>
  <c r="B8" i="10"/>
  <c r="C8" i="10" s="1"/>
  <c r="E8" i="10" s="1"/>
  <c r="B12" i="10"/>
  <c r="C12" i="10" s="1"/>
  <c r="E12" i="10" s="1"/>
  <c r="B10" i="10"/>
  <c r="C10" i="10" s="1"/>
  <c r="E10" i="10" s="1"/>
  <c r="B14" i="10"/>
  <c r="C14" i="10" s="1"/>
  <c r="E14" i="10" s="1"/>
  <c r="B11" i="10"/>
  <c r="C11" i="10" s="1"/>
  <c r="E11" i="10" s="1"/>
  <c r="B15" i="10"/>
  <c r="C15" i="10" s="1"/>
  <c r="E15" i="10" s="1"/>
  <c r="B16" i="10"/>
  <c r="C16" i="10" s="1"/>
  <c r="E16" i="10" s="1"/>
  <c r="C6" i="10"/>
  <c r="E6" i="10" s="1"/>
  <c r="Q13" i="9"/>
  <c r="Q15" i="8"/>
  <c r="I13" i="9"/>
  <c r="Q15" i="13"/>
  <c r="Q15" i="12"/>
  <c r="Q15" i="10"/>
  <c r="I13" i="6"/>
  <c r="Q13" i="5"/>
  <c r="I13" i="3"/>
  <c r="Q13" i="3"/>
  <c r="I13" i="5"/>
  <c r="Q15" i="7"/>
  <c r="Q13" i="6"/>
  <c r="Q10" i="10"/>
  <c r="Q10" i="8"/>
  <c r="Q10" i="12"/>
  <c r="Q10" i="13"/>
  <c r="I8" i="9"/>
  <c r="Q8" i="9"/>
  <c r="Q8" i="3"/>
  <c r="I8" i="5"/>
  <c r="I8" i="3"/>
  <c r="I8" i="6"/>
  <c r="Q10" i="7"/>
  <c r="Q8" i="6"/>
  <c r="Q8" i="5"/>
  <c r="Q12" i="13"/>
  <c r="I10" i="9"/>
  <c r="Q12" i="8"/>
  <c r="Q10" i="9"/>
  <c r="Q12" i="10"/>
  <c r="Q12" i="12"/>
  <c r="Q10" i="6"/>
  <c r="I10" i="5"/>
  <c r="Q10" i="5"/>
  <c r="I10" i="3"/>
  <c r="Q10" i="3"/>
  <c r="I10" i="6"/>
  <c r="Q12" i="7"/>
  <c r="Q8" i="10"/>
  <c r="I6" i="9"/>
  <c r="Q8" i="8"/>
  <c r="Q6" i="9"/>
  <c r="Q8" i="13"/>
  <c r="Q8" i="12"/>
  <c r="Q6" i="6"/>
  <c r="I6" i="5"/>
  <c r="Q6" i="5"/>
  <c r="I6" i="3"/>
  <c r="Q6" i="3"/>
  <c r="I6" i="6"/>
  <c r="Q8" i="7"/>
  <c r="B7" i="7"/>
  <c r="B12" i="7"/>
  <c r="C4" i="14"/>
  <c r="E4" i="14" s="1"/>
  <c r="C4" i="9"/>
  <c r="E4" i="9" s="1"/>
  <c r="B11" i="3"/>
  <c r="B10" i="3"/>
  <c r="B12" i="3"/>
  <c r="B13" i="3"/>
  <c r="B8" i="3"/>
  <c r="B15" i="12"/>
  <c r="C15" i="12" s="1"/>
  <c r="E15" i="12" s="1"/>
  <c r="B8" i="12"/>
  <c r="C8" i="12" s="1"/>
  <c r="E8" i="12" s="1"/>
  <c r="C6" i="12"/>
  <c r="E6" i="12" s="1"/>
  <c r="B11" i="12"/>
  <c r="C11" i="12" s="1"/>
  <c r="E11" i="12" s="1"/>
  <c r="B13" i="12"/>
  <c r="C13" i="12" s="1"/>
  <c r="E13" i="12" s="1"/>
  <c r="B12" i="12"/>
  <c r="C12" i="12" s="1"/>
  <c r="E12" i="12" s="1"/>
  <c r="B14" i="12"/>
  <c r="C14" i="12" s="1"/>
  <c r="E14" i="12" s="1"/>
  <c r="B16" i="12"/>
  <c r="C16" i="12" s="1"/>
  <c r="E16" i="12" s="1"/>
  <c r="B9" i="12"/>
  <c r="C9" i="12" s="1"/>
  <c r="E9" i="12" s="1"/>
  <c r="B10" i="12"/>
  <c r="C10" i="12" s="1"/>
  <c r="E10" i="12" s="1"/>
  <c r="B7" i="12"/>
  <c r="C7" i="12" s="1"/>
  <c r="E7" i="12" s="1"/>
  <c r="J7" i="12" s="1"/>
  <c r="K7" i="12" s="1"/>
  <c r="M7" i="12" s="1"/>
  <c r="B13" i="14"/>
  <c r="B12" i="14"/>
  <c r="B11" i="14"/>
  <c r="B10" i="14"/>
  <c r="B5" i="14"/>
  <c r="B9" i="14"/>
  <c r="B7" i="14"/>
  <c r="B6" i="14"/>
  <c r="B14" i="14"/>
  <c r="B8" i="14"/>
  <c r="I3" i="2"/>
  <c r="R9" i="10" l="1"/>
  <c r="J14" i="12"/>
  <c r="K14" i="12" s="1"/>
  <c r="R10" i="12"/>
  <c r="J14" i="10"/>
  <c r="K14" i="10" s="1"/>
  <c r="R14" i="12"/>
  <c r="R10" i="10"/>
  <c r="J10" i="10"/>
  <c r="K10" i="10" s="1"/>
  <c r="J10" i="12"/>
  <c r="K10" i="12" s="1"/>
  <c r="M10" i="12" s="1"/>
  <c r="J11" i="12"/>
  <c r="K11" i="12" s="1"/>
  <c r="R14" i="10"/>
  <c r="R11" i="12"/>
  <c r="J15" i="10"/>
  <c r="K15" i="10" s="1"/>
  <c r="R15" i="10"/>
  <c r="J9" i="12"/>
  <c r="K9" i="12" s="1"/>
  <c r="M9" i="12" s="1"/>
  <c r="R9" i="12"/>
  <c r="J8" i="12"/>
  <c r="K8" i="12" s="1"/>
  <c r="M8" i="12" s="1"/>
  <c r="R8" i="12"/>
  <c r="T8" i="12" s="1"/>
  <c r="R7" i="12"/>
  <c r="T7" i="12" s="1"/>
  <c r="J16" i="12"/>
  <c r="K16" i="12" s="1"/>
  <c r="R16" i="12"/>
  <c r="C14" i="14"/>
  <c r="E14" i="14" s="1"/>
  <c r="C14" i="9"/>
  <c r="E14" i="9" s="1"/>
  <c r="C7" i="9"/>
  <c r="E7" i="9" s="1"/>
  <c r="C7" i="14"/>
  <c r="E7" i="14" s="1"/>
  <c r="B18" i="14"/>
  <c r="R4" i="14"/>
  <c r="R6" i="10"/>
  <c r="B20" i="10"/>
  <c r="R7" i="10"/>
  <c r="T7" i="10" s="1"/>
  <c r="J7" i="10"/>
  <c r="K7" i="10" s="1"/>
  <c r="M7" i="10" s="1"/>
  <c r="L8" i="10"/>
  <c r="R13" i="13"/>
  <c r="J13" i="13"/>
  <c r="K13" i="13" s="1"/>
  <c r="J16" i="13"/>
  <c r="K16" i="13" s="1"/>
  <c r="R16" i="13"/>
  <c r="R8" i="13"/>
  <c r="T8" i="13" s="1"/>
  <c r="J8" i="13"/>
  <c r="K8" i="13" s="1"/>
  <c r="M8" i="13" s="1"/>
  <c r="S7" i="5"/>
  <c r="S8" i="5" s="1"/>
  <c r="S9" i="5" s="1"/>
  <c r="S10" i="5" s="1"/>
  <c r="S11" i="5" s="1"/>
  <c r="S12" i="5" s="1"/>
  <c r="S13" i="5" s="1"/>
  <c r="S14" i="5" s="1"/>
  <c r="S9" i="13"/>
  <c r="B20" i="12"/>
  <c r="R6" i="12"/>
  <c r="C8" i="14"/>
  <c r="E8" i="14" s="1"/>
  <c r="R9" i="14" s="1"/>
  <c r="C8" i="9"/>
  <c r="E8" i="9" s="1"/>
  <c r="J9" i="9" s="1"/>
  <c r="K9" i="9" s="1"/>
  <c r="C10" i="14"/>
  <c r="E10" i="14" s="1"/>
  <c r="C10" i="9"/>
  <c r="E10" i="9" s="1"/>
  <c r="C5" i="9"/>
  <c r="E5" i="9" s="1"/>
  <c r="J6" i="9" s="1"/>
  <c r="K6" i="9" s="1"/>
  <c r="C5" i="14"/>
  <c r="E5" i="14" s="1"/>
  <c r="R6" i="14" s="1"/>
  <c r="R16" i="10"/>
  <c r="J16" i="10"/>
  <c r="K16" i="10" s="1"/>
  <c r="R13" i="10"/>
  <c r="J13" i="10"/>
  <c r="K13" i="10" s="1"/>
  <c r="L11" i="12"/>
  <c r="L12" i="12" s="1"/>
  <c r="L13" i="12" s="1"/>
  <c r="L14" i="12" s="1"/>
  <c r="L15" i="12" s="1"/>
  <c r="L16" i="12" s="1"/>
  <c r="L9" i="13"/>
  <c r="R11" i="13"/>
  <c r="J11" i="13"/>
  <c r="J15" i="13"/>
  <c r="K15" i="13" s="1"/>
  <c r="J14" i="13"/>
  <c r="K14" i="13" s="1"/>
  <c r="R14" i="13"/>
  <c r="K11" i="13"/>
  <c r="R6" i="13"/>
  <c r="B20" i="13"/>
  <c r="S7" i="3"/>
  <c r="S8" i="3" s="1"/>
  <c r="S9" i="3" s="1"/>
  <c r="S10" i="3" s="1"/>
  <c r="S11" i="3" s="1"/>
  <c r="S12" i="3" s="1"/>
  <c r="S13" i="3" s="1"/>
  <c r="S14" i="3" s="1"/>
  <c r="S9" i="7"/>
  <c r="S10" i="7" s="1"/>
  <c r="S11" i="7" s="1"/>
  <c r="S7" i="9"/>
  <c r="S8" i="9" s="1"/>
  <c r="S9" i="9" s="1"/>
  <c r="S10" i="9" s="1"/>
  <c r="S11" i="9" s="1"/>
  <c r="L7" i="9"/>
  <c r="J15" i="12"/>
  <c r="K15" i="12" s="1"/>
  <c r="J12" i="12"/>
  <c r="K12" i="12" s="1"/>
  <c r="R12" i="12"/>
  <c r="C13" i="14"/>
  <c r="E13" i="14" s="1"/>
  <c r="C13" i="9"/>
  <c r="E13" i="9" s="1"/>
  <c r="C11" i="14"/>
  <c r="E11" i="14" s="1"/>
  <c r="C11" i="9"/>
  <c r="E11" i="9" s="1"/>
  <c r="J12" i="10"/>
  <c r="K12" i="10" s="1"/>
  <c r="R12" i="10"/>
  <c r="R12" i="13"/>
  <c r="J12" i="13"/>
  <c r="K12" i="13" s="1"/>
  <c r="R7" i="13"/>
  <c r="T7" i="13" s="1"/>
  <c r="J7" i="13"/>
  <c r="K7" i="13" s="1"/>
  <c r="M7" i="13" s="1"/>
  <c r="R15" i="13"/>
  <c r="L7" i="5"/>
  <c r="L8" i="5" s="1"/>
  <c r="L9" i="5" s="1"/>
  <c r="L10" i="5" s="1"/>
  <c r="L11" i="5" s="1"/>
  <c r="L12" i="5" s="1"/>
  <c r="L13" i="5" s="1"/>
  <c r="L14" i="5" s="1"/>
  <c r="S7" i="6"/>
  <c r="S8" i="6" s="1"/>
  <c r="S9" i="6" s="1"/>
  <c r="S10" i="6" s="1"/>
  <c r="S11" i="6" s="1"/>
  <c r="S12" i="6" s="1"/>
  <c r="S13" i="6" s="1"/>
  <c r="S14" i="6" s="1"/>
  <c r="S8" i="10"/>
  <c r="S9" i="12"/>
  <c r="S10" i="12" s="1"/>
  <c r="S11" i="12" s="1"/>
  <c r="S12" i="12" s="1"/>
  <c r="S13" i="12" s="1"/>
  <c r="M11" i="12"/>
  <c r="R13" i="12"/>
  <c r="J13" i="12"/>
  <c r="K13" i="12" s="1"/>
  <c r="R15" i="12"/>
  <c r="C12" i="9"/>
  <c r="E12" i="9" s="1"/>
  <c r="C12" i="14"/>
  <c r="E12" i="14" s="1"/>
  <c r="R4" i="9"/>
  <c r="B18" i="9"/>
  <c r="J11" i="10"/>
  <c r="K11" i="10" s="1"/>
  <c r="R11" i="10"/>
  <c r="J8" i="10"/>
  <c r="K8" i="10" s="1"/>
  <c r="R8" i="10"/>
  <c r="L9" i="8"/>
  <c r="L10" i="8" s="1"/>
  <c r="L11" i="8" s="1"/>
  <c r="L12" i="8" s="1"/>
  <c r="L13" i="8" s="1"/>
  <c r="L14" i="8" s="1"/>
  <c r="J9" i="13"/>
  <c r="K9" i="13" s="1"/>
  <c r="R9" i="13"/>
  <c r="R10" i="13"/>
  <c r="J10" i="13"/>
  <c r="K10" i="13" s="1"/>
  <c r="L7" i="3"/>
  <c r="L8" i="3" s="1"/>
  <c r="L9" i="3" s="1"/>
  <c r="L10" i="3" s="1"/>
  <c r="L7" i="6"/>
  <c r="L8" i="6" s="1"/>
  <c r="L9" i="6" s="1"/>
  <c r="L10" i="6" s="1"/>
  <c r="L11" i="6" s="1"/>
  <c r="S7" i="14"/>
  <c r="S8" i="14" s="1"/>
  <c r="S9" i="14" s="1"/>
  <c r="S10" i="14" s="1"/>
  <c r="S11" i="14" s="1"/>
  <c r="S12" i="14" s="1"/>
  <c r="S13" i="14" s="1"/>
  <c r="S14" i="14" s="1"/>
  <c r="C7" i="7"/>
  <c r="P6" i="6"/>
  <c r="P7" i="6"/>
  <c r="P8" i="6"/>
  <c r="P9" i="6"/>
  <c r="P10" i="6"/>
  <c r="P11" i="6"/>
  <c r="P12" i="6"/>
  <c r="P13" i="6"/>
  <c r="P14" i="6"/>
  <c r="P5" i="6"/>
  <c r="P6" i="5"/>
  <c r="P7" i="5"/>
  <c r="P8" i="5"/>
  <c r="P9" i="5"/>
  <c r="P10" i="5"/>
  <c r="P11" i="5"/>
  <c r="P12" i="5"/>
  <c r="P13" i="5"/>
  <c r="P14" i="5"/>
  <c r="P5" i="5"/>
  <c r="B4" i="6"/>
  <c r="B9" i="6" s="1"/>
  <c r="D4" i="6"/>
  <c r="D6" i="6" s="1"/>
  <c r="B4" i="5"/>
  <c r="B7" i="5" s="1"/>
  <c r="C7" i="5" s="1"/>
  <c r="D4" i="5"/>
  <c r="D14" i="5" s="1"/>
  <c r="C4" i="3"/>
  <c r="T9" i="13" l="1"/>
  <c r="M13" i="12"/>
  <c r="M9" i="13"/>
  <c r="M15" i="12"/>
  <c r="M12" i="12"/>
  <c r="B14" i="5"/>
  <c r="C14" i="5" s="1"/>
  <c r="B10" i="5"/>
  <c r="C10" i="5" s="1"/>
  <c r="R9" i="9"/>
  <c r="T9" i="9" s="1"/>
  <c r="E7" i="7"/>
  <c r="M6" i="9"/>
  <c r="D10" i="5"/>
  <c r="D13" i="6"/>
  <c r="D9" i="6"/>
  <c r="T9" i="12"/>
  <c r="J11" i="14"/>
  <c r="K11" i="14" s="1"/>
  <c r="R11" i="14"/>
  <c r="T11" i="14" s="1"/>
  <c r="S12" i="9"/>
  <c r="S13" i="9" s="1"/>
  <c r="S14" i="9" s="1"/>
  <c r="L10" i="13"/>
  <c r="M10" i="13" s="1"/>
  <c r="J10" i="9"/>
  <c r="K10" i="9" s="1"/>
  <c r="R10" i="9"/>
  <c r="T10" i="9" s="1"/>
  <c r="T11" i="12"/>
  <c r="R6" i="9"/>
  <c r="T6" i="9" s="1"/>
  <c r="J14" i="14"/>
  <c r="K14" i="14" s="1"/>
  <c r="R14" i="14"/>
  <c r="T14" i="14" s="1"/>
  <c r="D6" i="5"/>
  <c r="D12" i="6"/>
  <c r="D8" i="6"/>
  <c r="S14" i="12"/>
  <c r="T13" i="12"/>
  <c r="J13" i="9"/>
  <c r="K13" i="9" s="1"/>
  <c r="R13" i="9"/>
  <c r="T10" i="12"/>
  <c r="R10" i="14"/>
  <c r="T10" i="14" s="1"/>
  <c r="J10" i="14"/>
  <c r="K10" i="14" s="1"/>
  <c r="J7" i="14"/>
  <c r="T7" i="14"/>
  <c r="D5" i="6"/>
  <c r="D11" i="6"/>
  <c r="D7" i="6"/>
  <c r="L8" i="14"/>
  <c r="L9" i="14" s="1"/>
  <c r="J12" i="14"/>
  <c r="K12" i="14" s="1"/>
  <c r="R12" i="14"/>
  <c r="T12" i="14" s="1"/>
  <c r="R13" i="14"/>
  <c r="T13" i="14" s="1"/>
  <c r="J13" i="14"/>
  <c r="K13" i="14" s="1"/>
  <c r="J6" i="14"/>
  <c r="R5" i="14"/>
  <c r="T5" i="14" s="1"/>
  <c r="J5" i="14"/>
  <c r="R8" i="9"/>
  <c r="T8" i="9" s="1"/>
  <c r="J8" i="9"/>
  <c r="K8" i="9" s="1"/>
  <c r="S10" i="13"/>
  <c r="T10" i="13" s="1"/>
  <c r="R7" i="9"/>
  <c r="T7" i="9" s="1"/>
  <c r="J7" i="9"/>
  <c r="M16" i="12"/>
  <c r="D14" i="6"/>
  <c r="D10" i="6"/>
  <c r="R12" i="9"/>
  <c r="J12" i="9"/>
  <c r="K12" i="9" s="1"/>
  <c r="S9" i="10"/>
  <c r="T8" i="10"/>
  <c r="T9" i="14"/>
  <c r="J11" i="9"/>
  <c r="K11" i="9" s="1"/>
  <c r="R11" i="9"/>
  <c r="T11" i="9" s="1"/>
  <c r="T12" i="12"/>
  <c r="L8" i="9"/>
  <c r="L9" i="9" s="1"/>
  <c r="K5" i="9"/>
  <c r="R5" i="9"/>
  <c r="T5" i="9" s="1"/>
  <c r="R8" i="14"/>
  <c r="T8" i="14" s="1"/>
  <c r="J8" i="14"/>
  <c r="K8" i="14" s="1"/>
  <c r="M8" i="10"/>
  <c r="L9" i="10"/>
  <c r="R14" i="9"/>
  <c r="J14" i="9"/>
  <c r="K14" i="9" s="1"/>
  <c r="M14" i="12"/>
  <c r="L15" i="8"/>
  <c r="B8" i="6"/>
  <c r="C8" i="6" s="1"/>
  <c r="B11" i="6"/>
  <c r="B12" i="6"/>
  <c r="C12" i="6" s="1"/>
  <c r="B5" i="6"/>
  <c r="C5" i="6" s="1"/>
  <c r="B7" i="6"/>
  <c r="C7" i="6" s="1"/>
  <c r="E7" i="6" s="1"/>
  <c r="B6" i="5"/>
  <c r="C6" i="5" s="1"/>
  <c r="B14" i="6"/>
  <c r="C14" i="6" s="1"/>
  <c r="E14" i="6" s="1"/>
  <c r="B10" i="6"/>
  <c r="C10" i="6" s="1"/>
  <c r="B6" i="6"/>
  <c r="C6" i="6" s="1"/>
  <c r="E6" i="6" s="1"/>
  <c r="B13" i="6"/>
  <c r="C13" i="6" s="1"/>
  <c r="E13" i="6" s="1"/>
  <c r="S12" i="7"/>
  <c r="L11" i="3"/>
  <c r="B9" i="5"/>
  <c r="C9" i="5" s="1"/>
  <c r="C4" i="5"/>
  <c r="E4" i="5" s="1"/>
  <c r="B18" i="5" s="1"/>
  <c r="D13" i="5"/>
  <c r="D9" i="5"/>
  <c r="B13" i="5"/>
  <c r="C13" i="5" s="1"/>
  <c r="B12" i="5"/>
  <c r="C12" i="5" s="1"/>
  <c r="D12" i="5"/>
  <c r="D8" i="5"/>
  <c r="B8" i="5"/>
  <c r="C8" i="5" s="1"/>
  <c r="E8" i="5" s="1"/>
  <c r="B5" i="5"/>
  <c r="C5" i="5" s="1"/>
  <c r="E5" i="5" s="1"/>
  <c r="B11" i="5"/>
  <c r="C11" i="5" s="1"/>
  <c r="D5" i="5"/>
  <c r="D11" i="5"/>
  <c r="D7" i="5"/>
  <c r="E7" i="5" s="1"/>
  <c r="L12" i="6"/>
  <c r="C12" i="3"/>
  <c r="C8" i="3"/>
  <c r="C5" i="3"/>
  <c r="C11" i="3"/>
  <c r="C7" i="3"/>
  <c r="C14" i="3"/>
  <c r="C10" i="3"/>
  <c r="C6" i="3"/>
  <c r="C13" i="3"/>
  <c r="C9" i="3"/>
  <c r="C8" i="7"/>
  <c r="C10" i="7"/>
  <c r="C12" i="7"/>
  <c r="C14" i="7"/>
  <c r="C16" i="7"/>
  <c r="E16" i="7" s="1"/>
  <c r="C9" i="7"/>
  <c r="C11" i="7"/>
  <c r="C13" i="7"/>
  <c r="C15" i="7"/>
  <c r="C6" i="7"/>
  <c r="E6" i="7" s="1"/>
  <c r="C9" i="6"/>
  <c r="E9" i="6" s="1"/>
  <c r="C11" i="6"/>
  <c r="C4" i="6"/>
  <c r="E4" i="6" s="1"/>
  <c r="E14" i="5"/>
  <c r="P6" i="3"/>
  <c r="P7" i="3"/>
  <c r="P8" i="3"/>
  <c r="P9" i="3"/>
  <c r="P10" i="3"/>
  <c r="P11" i="3"/>
  <c r="P12" i="3"/>
  <c r="P13" i="3"/>
  <c r="P14" i="3"/>
  <c r="E11" i="5" l="1"/>
  <c r="E9" i="5"/>
  <c r="R7" i="7"/>
  <c r="K7" i="7"/>
  <c r="E6" i="5"/>
  <c r="T14" i="9"/>
  <c r="T13" i="9"/>
  <c r="T12" i="9"/>
  <c r="K5" i="14"/>
  <c r="M5" i="14" s="1"/>
  <c r="K6" i="14"/>
  <c r="M6" i="14" s="1"/>
  <c r="K7" i="9"/>
  <c r="M7" i="9" s="1"/>
  <c r="E11" i="6"/>
  <c r="E5" i="6"/>
  <c r="T5" i="6" s="1"/>
  <c r="E10" i="5"/>
  <c r="R11" i="5" s="1"/>
  <c r="T11" i="5" s="1"/>
  <c r="H20" i="12"/>
  <c r="J14" i="6"/>
  <c r="M5" i="9"/>
  <c r="S10" i="10"/>
  <c r="T9" i="10"/>
  <c r="L11" i="13"/>
  <c r="M11" i="13" s="1"/>
  <c r="M5" i="6"/>
  <c r="S11" i="13"/>
  <c r="T11" i="13" s="1"/>
  <c r="P18" i="14"/>
  <c r="L10" i="9"/>
  <c r="M9" i="9"/>
  <c r="M8" i="9"/>
  <c r="M8" i="14"/>
  <c r="S15" i="12"/>
  <c r="T14" i="12"/>
  <c r="L10" i="10"/>
  <c r="M9" i="10"/>
  <c r="L16" i="8"/>
  <c r="R7" i="6"/>
  <c r="T7" i="6" s="1"/>
  <c r="J7" i="6"/>
  <c r="M7" i="6" s="1"/>
  <c r="J9" i="5"/>
  <c r="E12" i="5"/>
  <c r="J12" i="5" s="1"/>
  <c r="E13" i="5"/>
  <c r="J14" i="5" s="1"/>
  <c r="E10" i="7"/>
  <c r="E8" i="7"/>
  <c r="J8" i="7" s="1"/>
  <c r="K8" i="7" s="1"/>
  <c r="S13" i="7"/>
  <c r="L12" i="3"/>
  <c r="J7" i="5"/>
  <c r="T5" i="5"/>
  <c r="J8" i="5"/>
  <c r="J10" i="5"/>
  <c r="L13" i="6"/>
  <c r="T7" i="7"/>
  <c r="E14" i="7"/>
  <c r="E13" i="7"/>
  <c r="E9" i="7"/>
  <c r="E12" i="7"/>
  <c r="B20" i="7"/>
  <c r="E15" i="7"/>
  <c r="E11" i="7"/>
  <c r="R6" i="6"/>
  <c r="T6" i="6" s="1"/>
  <c r="R14" i="6"/>
  <c r="T14" i="6" s="1"/>
  <c r="E10" i="6"/>
  <c r="J11" i="6" s="1"/>
  <c r="M11" i="6" s="1"/>
  <c r="B18" i="6"/>
  <c r="E12" i="6"/>
  <c r="E8" i="6"/>
  <c r="J8" i="6" s="1"/>
  <c r="R7" i="5"/>
  <c r="T7" i="5" s="1"/>
  <c r="R9" i="5"/>
  <c r="T9" i="5" s="1"/>
  <c r="T6" i="5"/>
  <c r="R8" i="5"/>
  <c r="T8" i="5" s="1"/>
  <c r="R10" i="5"/>
  <c r="T10" i="5" s="1"/>
  <c r="J11" i="5" l="1"/>
  <c r="J6" i="6"/>
  <c r="M6" i="6" s="1"/>
  <c r="K12" i="5"/>
  <c r="M12" i="5" s="1"/>
  <c r="K8" i="5"/>
  <c r="M8" i="5" s="1"/>
  <c r="K11" i="5"/>
  <c r="M11" i="5" s="1"/>
  <c r="K9" i="5"/>
  <c r="M9" i="5" s="1"/>
  <c r="K5" i="5"/>
  <c r="M5" i="5" s="1"/>
  <c r="K10" i="5"/>
  <c r="M10" i="5" s="1"/>
  <c r="M7" i="5"/>
  <c r="K7" i="5"/>
  <c r="M6" i="5"/>
  <c r="K14" i="5"/>
  <c r="M14" i="5" s="1"/>
  <c r="P18" i="9"/>
  <c r="P19" i="9" s="1"/>
  <c r="H21" i="12"/>
  <c r="H23" i="12"/>
  <c r="P19" i="14"/>
  <c r="P21" i="14"/>
  <c r="R14" i="5"/>
  <c r="T14" i="5" s="1"/>
  <c r="J13" i="5"/>
  <c r="R12" i="5"/>
  <c r="T12" i="5" s="1"/>
  <c r="R13" i="7"/>
  <c r="T13" i="7" s="1"/>
  <c r="M10" i="9"/>
  <c r="L11" i="9"/>
  <c r="S12" i="13"/>
  <c r="T12" i="13" s="1"/>
  <c r="M10" i="10"/>
  <c r="L11" i="10"/>
  <c r="L10" i="14"/>
  <c r="M9" i="14"/>
  <c r="L12" i="13"/>
  <c r="M12" i="13" s="1"/>
  <c r="S11" i="10"/>
  <c r="T10" i="10"/>
  <c r="R13" i="5"/>
  <c r="T13" i="5" s="1"/>
  <c r="R8" i="7"/>
  <c r="T8" i="7" s="1"/>
  <c r="M7" i="7"/>
  <c r="S16" i="12"/>
  <c r="T16" i="12" s="1"/>
  <c r="T15" i="12"/>
  <c r="M8" i="7"/>
  <c r="R8" i="6"/>
  <c r="T8" i="6" s="1"/>
  <c r="M8" i="6"/>
  <c r="R12" i="6"/>
  <c r="T12" i="6" s="1"/>
  <c r="J12" i="6"/>
  <c r="M12" i="6" s="1"/>
  <c r="J12" i="7"/>
  <c r="K12" i="7" s="1"/>
  <c r="J9" i="6"/>
  <c r="M9" i="6" s="1"/>
  <c r="R10" i="6"/>
  <c r="T10" i="6" s="1"/>
  <c r="J10" i="6"/>
  <c r="M10" i="6" s="1"/>
  <c r="J14" i="7"/>
  <c r="K14" i="7" s="1"/>
  <c r="J13" i="6"/>
  <c r="M13" i="6" s="1"/>
  <c r="R10" i="7"/>
  <c r="T10" i="7" s="1"/>
  <c r="J9" i="7"/>
  <c r="K9" i="7" s="1"/>
  <c r="R11" i="7"/>
  <c r="T11" i="7" s="1"/>
  <c r="J11" i="7"/>
  <c r="K11" i="7" s="1"/>
  <c r="J13" i="7"/>
  <c r="K13" i="7" s="1"/>
  <c r="J10" i="7"/>
  <c r="K10" i="7" s="1"/>
  <c r="R15" i="7"/>
  <c r="J15" i="7"/>
  <c r="K15" i="7" s="1"/>
  <c r="J16" i="7"/>
  <c r="K16" i="7" s="1"/>
  <c r="S14" i="7"/>
  <c r="L13" i="3"/>
  <c r="L14" i="6"/>
  <c r="M14" i="6" s="1"/>
  <c r="R9" i="7"/>
  <c r="T9" i="7" s="1"/>
  <c r="R16" i="7"/>
  <c r="R14" i="7"/>
  <c r="R12" i="7"/>
  <c r="R13" i="6"/>
  <c r="T13" i="6" s="1"/>
  <c r="R9" i="6"/>
  <c r="T9" i="6" s="1"/>
  <c r="R11" i="6"/>
  <c r="T11" i="6" s="1"/>
  <c r="K13" i="5" l="1"/>
  <c r="M13" i="5" s="1"/>
  <c r="H18" i="5" s="1"/>
  <c r="P21" i="9"/>
  <c r="P18" i="5"/>
  <c r="P20" i="12"/>
  <c r="M10" i="7"/>
  <c r="M9" i="7"/>
  <c r="M11" i="10"/>
  <c r="L12" i="10"/>
  <c r="L12" i="9"/>
  <c r="M11" i="9"/>
  <c r="L13" i="13"/>
  <c r="M13" i="13" s="1"/>
  <c r="M16" i="7"/>
  <c r="M13" i="7"/>
  <c r="M15" i="7"/>
  <c r="M11" i="7"/>
  <c r="M14" i="7"/>
  <c r="M12" i="7"/>
  <c r="S12" i="10"/>
  <c r="T11" i="10"/>
  <c r="L11" i="14"/>
  <c r="M10" i="14"/>
  <c r="S13" i="13"/>
  <c r="T13" i="13" s="1"/>
  <c r="H18" i="6"/>
  <c r="H21" i="6" s="1"/>
  <c r="P18" i="6"/>
  <c r="P21" i="6" s="1"/>
  <c r="T12" i="7"/>
  <c r="T14" i="7"/>
  <c r="S15" i="7"/>
  <c r="L14" i="3"/>
  <c r="D9" i="3"/>
  <c r="D13" i="3"/>
  <c r="D6" i="3"/>
  <c r="D10" i="3"/>
  <c r="D14" i="3"/>
  <c r="D7" i="3"/>
  <c r="D11" i="3"/>
  <c r="D12" i="3"/>
  <c r="H19" i="6" l="1"/>
  <c r="H21" i="5"/>
  <c r="H19" i="5"/>
  <c r="P21" i="12"/>
  <c r="P23" i="12"/>
  <c r="P19" i="6"/>
  <c r="P19" i="5"/>
  <c r="P21" i="5"/>
  <c r="H20" i="7"/>
  <c r="S14" i="13"/>
  <c r="T14" i="13" s="1"/>
  <c r="S13" i="10"/>
  <c r="T12" i="10"/>
  <c r="L13" i="9"/>
  <c r="M12" i="9"/>
  <c r="L12" i="14"/>
  <c r="M11" i="14"/>
  <c r="L14" i="13"/>
  <c r="M14" i="13" s="1"/>
  <c r="M12" i="10"/>
  <c r="L13" i="10"/>
  <c r="S16" i="7"/>
  <c r="T16" i="7" s="1"/>
  <c r="T15" i="7"/>
  <c r="E5" i="3"/>
  <c r="E13" i="3"/>
  <c r="E9" i="3"/>
  <c r="E7" i="3"/>
  <c r="E6" i="3"/>
  <c r="E11" i="3"/>
  <c r="E12" i="3"/>
  <c r="E8" i="3"/>
  <c r="E10" i="3"/>
  <c r="E4" i="3"/>
  <c r="E14" i="3"/>
  <c r="H21" i="7" l="1"/>
  <c r="H23" i="7"/>
  <c r="R5" i="3"/>
  <c r="J8" i="3"/>
  <c r="K8" i="3" s="1"/>
  <c r="M8" i="3" s="1"/>
  <c r="L15" i="13"/>
  <c r="M15" i="13" s="1"/>
  <c r="L14" i="9"/>
  <c r="M14" i="9" s="1"/>
  <c r="M13" i="9"/>
  <c r="S15" i="13"/>
  <c r="T15" i="13" s="1"/>
  <c r="M13" i="10"/>
  <c r="L14" i="10"/>
  <c r="J10" i="3"/>
  <c r="L13" i="14"/>
  <c r="M12" i="14"/>
  <c r="S14" i="10"/>
  <c r="T13" i="10"/>
  <c r="P20" i="7"/>
  <c r="J7" i="3"/>
  <c r="J14" i="3"/>
  <c r="J12" i="3"/>
  <c r="K12" i="3" s="1"/>
  <c r="M12" i="3" s="1"/>
  <c r="J9" i="3"/>
  <c r="R4" i="3"/>
  <c r="J11" i="3"/>
  <c r="J13" i="3"/>
  <c r="R6" i="3"/>
  <c r="T6" i="3" s="1"/>
  <c r="J6" i="3"/>
  <c r="T5" i="3"/>
  <c r="R12" i="3"/>
  <c r="T12" i="3" s="1"/>
  <c r="R13" i="3"/>
  <c r="T13" i="3" s="1"/>
  <c r="R14" i="3"/>
  <c r="T14" i="3" s="1"/>
  <c r="R9" i="3"/>
  <c r="T9" i="3" s="1"/>
  <c r="R10" i="3"/>
  <c r="T10" i="3" s="1"/>
  <c r="R7" i="3"/>
  <c r="T7" i="3" s="1"/>
  <c r="R8" i="3"/>
  <c r="T8" i="3" s="1"/>
  <c r="R11" i="3"/>
  <c r="T11" i="3" s="1"/>
  <c r="B18" i="3"/>
  <c r="P21" i="7" l="1"/>
  <c r="P23" i="7"/>
  <c r="K13" i="3"/>
  <c r="M13" i="3" s="1"/>
  <c r="K7" i="3"/>
  <c r="M7" i="3" s="1"/>
  <c r="K5" i="3"/>
  <c r="M5" i="3" s="1"/>
  <c r="K11" i="3"/>
  <c r="M11" i="3" s="1"/>
  <c r="K6" i="3"/>
  <c r="M6" i="3" s="1"/>
  <c r="K10" i="3"/>
  <c r="M10" i="3" s="1"/>
  <c r="K14" i="3"/>
  <c r="M14" i="3" s="1"/>
  <c r="K9" i="3"/>
  <c r="M9" i="3" s="1"/>
  <c r="H18" i="9"/>
  <c r="S15" i="10"/>
  <c r="T14" i="10"/>
  <c r="S16" i="13"/>
  <c r="T16" i="13" s="1"/>
  <c r="L16" i="13"/>
  <c r="M16" i="13" s="1"/>
  <c r="M14" i="10"/>
  <c r="L15" i="10"/>
  <c r="L14" i="14"/>
  <c r="M14" i="14" s="1"/>
  <c r="M13" i="14"/>
  <c r="P18" i="3"/>
  <c r="P19" i="3" l="1"/>
  <c r="B6" i="8" s="1"/>
  <c r="B12" i="8" s="1"/>
  <c r="C12" i="8" s="1"/>
  <c r="E12" i="8" s="1"/>
  <c r="P21" i="3"/>
  <c r="H19" i="9"/>
  <c r="H21" i="9"/>
  <c r="H18" i="3"/>
  <c r="H18" i="14"/>
  <c r="H20" i="13"/>
  <c r="S16" i="10"/>
  <c r="T16" i="10" s="1"/>
  <c r="T15" i="10"/>
  <c r="M15" i="10"/>
  <c r="L16" i="10"/>
  <c r="M16" i="10" s="1"/>
  <c r="H20" i="10" s="1"/>
  <c r="P20" i="13"/>
  <c r="B8" i="8"/>
  <c r="C8" i="8" s="1"/>
  <c r="E8" i="8" s="1"/>
  <c r="B16" i="8"/>
  <c r="C16" i="8" s="1"/>
  <c r="E16" i="8" s="1"/>
  <c r="B9" i="8"/>
  <c r="C9" i="8" s="1"/>
  <c r="E9" i="8" s="1"/>
  <c r="B13" i="8"/>
  <c r="C13" i="8" s="1"/>
  <c r="E13" i="8" s="1"/>
  <c r="B7" i="8"/>
  <c r="C7" i="8" s="1"/>
  <c r="E7" i="8" s="1"/>
  <c r="R7" i="8" s="1"/>
  <c r="B10" i="8"/>
  <c r="C10" i="8" s="1"/>
  <c r="E10" i="8" s="1"/>
  <c r="B14" i="8"/>
  <c r="C14" i="8" s="1"/>
  <c r="E14" i="8" s="1"/>
  <c r="B11" i="8"/>
  <c r="C11" i="8" s="1"/>
  <c r="E11" i="8" s="1"/>
  <c r="B15" i="8"/>
  <c r="C15" i="8" s="1"/>
  <c r="E15" i="8" s="1"/>
  <c r="C6" i="8"/>
  <c r="E6" i="8" s="1"/>
  <c r="H21" i="13" l="1"/>
  <c r="H23" i="13"/>
  <c r="P21" i="13"/>
  <c r="P23" i="13"/>
  <c r="P24" i="13" s="1"/>
  <c r="H21" i="10"/>
  <c r="H23" i="10"/>
  <c r="H19" i="3"/>
  <c r="H21" i="3"/>
  <c r="H22" i="9" s="1"/>
  <c r="C14" i="15" s="1"/>
  <c r="H19" i="14"/>
  <c r="H21" i="14"/>
  <c r="P22" i="14"/>
  <c r="D16" i="15" s="1"/>
  <c r="L22" i="15" s="1" a="1"/>
  <c r="P24" i="12"/>
  <c r="P24" i="7"/>
  <c r="P22" i="9"/>
  <c r="D14" i="15" s="1"/>
  <c r="P22" i="6"/>
  <c r="P22" i="5"/>
  <c r="P20" i="10"/>
  <c r="R13" i="8"/>
  <c r="T13" i="8" s="1"/>
  <c r="R9" i="8"/>
  <c r="T9" i="8" s="1"/>
  <c r="J9" i="8"/>
  <c r="K9" i="8" s="1"/>
  <c r="B20" i="8"/>
  <c r="R10" i="8"/>
  <c r="T10" i="8" s="1"/>
  <c r="J10" i="8"/>
  <c r="K10" i="8" s="1"/>
  <c r="J16" i="8"/>
  <c r="R16" i="8"/>
  <c r="T16" i="8" s="1"/>
  <c r="J15" i="8"/>
  <c r="R15" i="8"/>
  <c r="T15" i="8" s="1"/>
  <c r="K7" i="8"/>
  <c r="T7" i="8"/>
  <c r="J13" i="8"/>
  <c r="J12" i="8"/>
  <c r="R12" i="8"/>
  <c r="T12" i="8" s="1"/>
  <c r="J14" i="8"/>
  <c r="R14" i="8"/>
  <c r="T14" i="8" s="1"/>
  <c r="R11" i="8"/>
  <c r="T11" i="8" s="1"/>
  <c r="J11" i="8"/>
  <c r="K11" i="8" s="1"/>
  <c r="J8" i="8"/>
  <c r="K8" i="8" s="1"/>
  <c r="R8" i="8"/>
  <c r="T8" i="8" s="1"/>
  <c r="L22" i="15" l="1"/>
  <c r="L24" i="15"/>
  <c r="N22" i="15" s="1"/>
  <c r="L23" i="15"/>
  <c r="M22" i="15" s="1"/>
  <c r="K12" i="8"/>
  <c r="M12" i="8" s="1"/>
  <c r="K16" i="8"/>
  <c r="M16" i="8" s="1"/>
  <c r="M13" i="8"/>
  <c r="K13" i="8"/>
  <c r="K15" i="8"/>
  <c r="M15" i="8" s="1"/>
  <c r="M14" i="8"/>
  <c r="K14" i="8"/>
  <c r="P21" i="10"/>
  <c r="P23" i="10"/>
  <c r="P24" i="10" s="1"/>
  <c r="D15" i="15" s="1"/>
  <c r="D11" i="15"/>
  <c r="H22" i="14"/>
  <c r="C16" i="15" s="1"/>
  <c r="H24" i="12"/>
  <c r="H22" i="6"/>
  <c r="H24" i="13"/>
  <c r="H24" i="7"/>
  <c r="C12" i="15" s="1"/>
  <c r="H24" i="10"/>
  <c r="H22" i="5"/>
  <c r="M10" i="8"/>
  <c r="M9" i="8"/>
  <c r="P20" i="8"/>
  <c r="M11" i="8"/>
  <c r="M7" i="8"/>
  <c r="M8" i="8"/>
  <c r="P21" i="8" l="1"/>
  <c r="P23" i="8"/>
  <c r="P24" i="8" s="1"/>
  <c r="D13" i="15" s="1"/>
  <c r="I12" i="15"/>
  <c r="P18" i="15" s="1" a="1"/>
  <c r="C15" i="15"/>
  <c r="L14" i="15" s="1" a="1"/>
  <c r="H20" i="8"/>
  <c r="P18" i="15" l="1"/>
  <c r="P19" i="15"/>
  <c r="Q18" i="15" s="1"/>
  <c r="H21" i="8"/>
  <c r="H23" i="8"/>
  <c r="H24" i="8" s="1"/>
  <c r="L15" i="15"/>
  <c r="M14" i="15" s="1"/>
  <c r="L16" i="15"/>
  <c r="N14" i="15" s="1"/>
  <c r="L14" i="15"/>
  <c r="H12" i="15" l="1"/>
  <c r="C13" i="15"/>
  <c r="L10" i="15" s="1" a="1"/>
  <c r="L11" i="15" s="1"/>
  <c r="M10" i="15" s="1"/>
  <c r="I11" i="15"/>
  <c r="L10" i="15" l="1"/>
  <c r="L12" i="15"/>
  <c r="N10" i="15" s="1"/>
  <c r="H11" i="15" l="1"/>
  <c r="P10" i="15" s="1" a="1"/>
  <c r="P11" i="15" s="1"/>
  <c r="Q10" i="15" s="1"/>
  <c r="I13" i="15"/>
  <c r="P10" i="15" l="1"/>
  <c r="H13" i="15" s="1"/>
</calcChain>
</file>

<file path=xl/sharedStrings.xml><?xml version="1.0" encoding="utf-8"?>
<sst xmlns="http://schemas.openxmlformats.org/spreadsheetml/2006/main" count="346" uniqueCount="68">
  <si>
    <t>SCR_up</t>
  </si>
  <si>
    <t>SCR_dw</t>
  </si>
  <si>
    <t>PLAIN</t>
  </si>
  <si>
    <t>T</t>
  </si>
  <si>
    <t>spot rates  -  R(0,T)</t>
  </si>
  <si>
    <t>x</t>
  </si>
  <si>
    <t>l_x</t>
  </si>
  <si>
    <t>SIM 2017</t>
  </si>
  <si>
    <t>EIOPA 31/12/2018 IT with VA</t>
  </si>
  <si>
    <t>Parameters</t>
  </si>
  <si>
    <t>N</t>
  </si>
  <si>
    <t>B0</t>
  </si>
  <si>
    <t>spread</t>
  </si>
  <si>
    <t>t</t>
  </si>
  <si>
    <t>B</t>
  </si>
  <si>
    <t>S</t>
  </si>
  <si>
    <t>S0</t>
  </si>
  <si>
    <t>sigma</t>
  </si>
  <si>
    <t>M</t>
  </si>
  <si>
    <t>fee_rate</t>
  </si>
  <si>
    <t>lapse</t>
  </si>
  <si>
    <t>F</t>
  </si>
  <si>
    <t>Assets:</t>
  </si>
  <si>
    <t>discounts</t>
  </si>
  <si>
    <t>q_x</t>
  </si>
  <si>
    <t>C</t>
  </si>
  <si>
    <t>p</t>
  </si>
  <si>
    <t>V</t>
  </si>
  <si>
    <t>Liabs:</t>
  </si>
  <si>
    <t>Duration:</t>
  </si>
  <si>
    <t>fwd_B</t>
  </si>
  <si>
    <t>Equity</t>
  </si>
  <si>
    <t>F'</t>
  </si>
  <si>
    <t xml:space="preserve">MV_bond: </t>
  </si>
  <si>
    <t>spread:</t>
  </si>
  <si>
    <t>Mortality</t>
  </si>
  <si>
    <t>lapse:</t>
  </si>
  <si>
    <t xml:space="preserve">q_x </t>
  </si>
  <si>
    <t>DBOF:</t>
  </si>
  <si>
    <t>BOF:</t>
  </si>
  <si>
    <t>Life correlation matrix</t>
  </si>
  <si>
    <t>Global correlation matrix</t>
  </si>
  <si>
    <t>Solvency Capital Requirements</t>
  </si>
  <si>
    <t>Case A</t>
  </si>
  <si>
    <t>Case B</t>
  </si>
  <si>
    <t>Interest</t>
  </si>
  <si>
    <t>Spread</t>
  </si>
  <si>
    <t>Lapse</t>
  </si>
  <si>
    <t>CAT</t>
  </si>
  <si>
    <t>SCR market:</t>
  </si>
  <si>
    <t>SCR life:</t>
  </si>
  <si>
    <t>BSCR:</t>
  </si>
  <si>
    <t>Computations:</t>
  </si>
  <si>
    <t>CaseB</t>
  </si>
  <si>
    <t>BASIC CASE</t>
  </si>
  <si>
    <t>CASE A</t>
  </si>
  <si>
    <t>CASE B</t>
  </si>
  <si>
    <t>R UP</t>
  </si>
  <si>
    <t>R DOWN</t>
  </si>
  <si>
    <t>EQUITY</t>
  </si>
  <si>
    <t>MKT SPREAD</t>
  </si>
  <si>
    <t>MORTALITY</t>
  </si>
  <si>
    <t>LAPSE UP</t>
  </si>
  <si>
    <t>LAPSE DOWN</t>
  </si>
  <si>
    <t>LAPSE MASS</t>
  </si>
  <si>
    <t xml:space="preserve">S0  </t>
  </si>
  <si>
    <t>Market correlation  matrix A</t>
  </si>
  <si>
    <t>Market correlation  matrix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</si>
</sst>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_-* #,##0_-;\-* #,##0_-;_-* \-_-;_-@_-"/>
    <numFmt numFmtId="166" formatCode="#,##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 (Corpo)"/>
    </font>
    <font>
      <sz val="11"/>
      <name val="Calibri"/>
      <family val="2"/>
      <scheme val="minor"/>
    </font>
    <font>
      <sz val="14"/>
      <color theme="1"/>
      <name val="Calibri (Corpo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81">
    <xf numFmtId="0" fontId="0" fillId="0" borderId="0" xfId="0"/>
    <xf numFmtId="0" fontId="0" fillId="2" borderId="0" xfId="0" applyFill="1"/>
    <xf numFmtId="0" fontId="0" fillId="2" borderId="9" xfId="0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164" fontId="0" fillId="2" borderId="0" xfId="0" applyNumberFormat="1" applyFill="1"/>
    <xf numFmtId="164" fontId="0" fillId="2" borderId="3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0" applyNumberFormat="1" applyFill="1" applyBorder="1"/>
    <xf numFmtId="166" fontId="0" fillId="2" borderId="0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2" xfId="1" applyNumberFormat="1" applyFont="1" applyFill="1" applyBorder="1"/>
    <xf numFmtId="164" fontId="0" fillId="2" borderId="4" xfId="1" applyNumberFormat="1" applyFont="1" applyFill="1" applyBorder="1"/>
    <xf numFmtId="164" fontId="0" fillId="2" borderId="0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0" fontId="0" fillId="2" borderId="11" xfId="1" applyNumberFormat="1" applyFont="1" applyFill="1" applyBorder="1" applyAlignment="1">
      <alignment horizontal="right"/>
    </xf>
    <xf numFmtId="0" fontId="3" fillId="2" borderId="0" xfId="0" applyFont="1" applyFill="1"/>
    <xf numFmtId="164" fontId="0" fillId="3" borderId="1" xfId="1" applyNumberFormat="1" applyFont="1" applyFill="1" applyBorder="1"/>
    <xf numFmtId="164" fontId="0" fillId="3" borderId="4" xfId="1" applyNumberFormat="1" applyFont="1" applyFill="1" applyBorder="1"/>
    <xf numFmtId="1" fontId="4" fillId="0" borderId="14" xfId="2" applyNumberFormat="1" applyBorder="1" applyAlignment="1">
      <alignment vertical="top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7" xfId="0" applyFont="1" applyBorder="1"/>
    <xf numFmtId="0" fontId="0" fillId="0" borderId="9" xfId="0" applyFont="1" applyBorder="1"/>
    <xf numFmtId="0" fontId="0" fillId="0" borderId="15" xfId="0" applyBorder="1"/>
    <xf numFmtId="0" fontId="0" fillId="0" borderId="18" xfId="0" applyBorder="1"/>
    <xf numFmtId="0" fontId="0" fillId="4" borderId="15" xfId="0" applyFill="1" applyBorder="1"/>
    <xf numFmtId="0" fontId="0" fillId="4" borderId="18" xfId="0" applyFill="1" applyBorder="1"/>
    <xf numFmtId="0" fontId="0" fillId="4" borderId="17" xfId="0" applyFill="1" applyBorder="1"/>
    <xf numFmtId="0" fontId="0" fillId="4" borderId="9" xfId="0" applyFill="1" applyBorder="1"/>
    <xf numFmtId="0" fontId="6" fillId="0" borderId="0" xfId="0" applyFont="1"/>
    <xf numFmtId="0" fontId="7" fillId="0" borderId="15" xfId="0" applyFont="1" applyBorder="1"/>
    <xf numFmtId="0" fontId="0" fillId="0" borderId="17" xfId="0" applyFill="1" applyBorder="1"/>
    <xf numFmtId="0" fontId="0" fillId="0" borderId="9" xfId="0" applyFill="1" applyBorder="1"/>
    <xf numFmtId="0" fontId="0" fillId="5" borderId="15" xfId="0" applyFill="1" applyBorder="1"/>
    <xf numFmtId="0" fontId="0" fillId="5" borderId="9" xfId="0" applyFill="1" applyBorder="1"/>
    <xf numFmtId="0" fontId="0" fillId="0" borderId="0" xfId="0" applyFill="1" applyBorder="1"/>
    <xf numFmtId="0" fontId="0" fillId="4" borderId="19" xfId="0" applyFill="1" applyBorder="1"/>
    <xf numFmtId="0" fontId="0" fillId="2" borderId="3" xfId="0" applyFill="1" applyBorder="1"/>
    <xf numFmtId="0" fontId="0" fillId="2" borderId="5" xfId="0" applyFill="1" applyBorder="1"/>
    <xf numFmtId="164" fontId="0" fillId="2" borderId="8" xfId="0" applyNumberFormat="1" applyFill="1" applyBorder="1"/>
    <xf numFmtId="0" fontId="0" fillId="2" borderId="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9" xfId="0" applyFill="1" applyBorder="1"/>
    <xf numFmtId="1" fontId="4" fillId="0" borderId="21" xfId="2" applyNumberFormat="1" applyBorder="1" applyAlignment="1">
      <alignment vertical="top"/>
    </xf>
    <xf numFmtId="165" fontId="0" fillId="2" borderId="15" xfId="1" applyNumberFormat="1" applyFont="1" applyFill="1" applyBorder="1" applyAlignment="1">
      <alignment horizontal="right"/>
    </xf>
    <xf numFmtId="0" fontId="0" fillId="4" borderId="20" xfId="0" applyFill="1" applyBorder="1"/>
    <xf numFmtId="0" fontId="0" fillId="4" borderId="1" xfId="0" applyFill="1" applyBorder="1"/>
    <xf numFmtId="0" fontId="0" fillId="4" borderId="3" xfId="0" applyFill="1" applyBorder="1"/>
    <xf numFmtId="0" fontId="8" fillId="4" borderId="16" xfId="0" applyFont="1" applyFill="1" applyBorder="1"/>
    <xf numFmtId="0" fontId="8" fillId="4" borderId="15" xfId="0" applyFont="1" applyFill="1" applyBorder="1"/>
    <xf numFmtId="0" fontId="0" fillId="4" borderId="4" xfId="0" applyFill="1" applyBorder="1"/>
    <xf numFmtId="0" fontId="0" fillId="4" borderId="6" xfId="0" applyFill="1" applyBorder="1"/>
    <xf numFmtId="0" fontId="9" fillId="4" borderId="19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3">
    <cellStyle name="Normale" xfId="0" builtinId="0"/>
    <cellStyle name="Normale 2" xfId="2" xr:uid="{00000000-0005-0000-0000-00002F000000}"/>
    <cellStyle name="Percentuale" xfId="1" builtinId="5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4"/>
  <sheetViews>
    <sheetView zoomScale="80" zoomScaleNormal="80" workbookViewId="0">
      <selection activeCell="P117" sqref="P117"/>
    </sheetView>
  </sheetViews>
  <sheetFormatPr defaultColWidth="9.140625" defaultRowHeight="15"/>
  <cols>
    <col min="1" max="1" width="4.28515625" style="1" customWidth="1"/>
    <col min="2" max="2" width="9.140625" style="1"/>
    <col min="3" max="5" width="9.140625" style="1" customWidth="1"/>
    <col min="6" max="6" width="4.28515625" style="1" customWidth="1"/>
    <col min="7" max="7" width="9.140625" style="1"/>
    <col min="8" max="8" width="10.28515625" style="1" customWidth="1"/>
    <col min="9" max="9" width="12.28515625" style="1" bestFit="1" customWidth="1"/>
    <col min="10" max="11" width="9.140625" style="1"/>
    <col min="12" max="12" width="10.140625" style="1" bestFit="1" customWidth="1"/>
    <col min="13" max="16384" width="9.140625" style="1"/>
  </cols>
  <sheetData>
    <row r="1" spans="2:17">
      <c r="B1" s="74" t="s">
        <v>8</v>
      </c>
      <c r="C1" s="75"/>
      <c r="D1" s="75"/>
      <c r="E1" s="76"/>
      <c r="G1" s="80" t="s">
        <v>7</v>
      </c>
      <c r="H1" s="80"/>
      <c r="I1" s="80"/>
      <c r="K1" s="14" t="s">
        <v>9</v>
      </c>
      <c r="L1" s="57"/>
    </row>
    <row r="2" spans="2:17">
      <c r="B2" s="77" t="s">
        <v>4</v>
      </c>
      <c r="C2" s="78"/>
      <c r="D2" s="78"/>
      <c r="E2" s="79"/>
      <c r="G2" s="7" t="s">
        <v>5</v>
      </c>
      <c r="H2" s="7" t="s">
        <v>6</v>
      </c>
      <c r="I2" s="7" t="s">
        <v>37</v>
      </c>
      <c r="K2" s="16"/>
      <c r="L2" s="60"/>
    </row>
    <row r="3" spans="2:17" ht="15.75">
      <c r="B3" s="2" t="s">
        <v>3</v>
      </c>
      <c r="C3" s="17" t="s">
        <v>2</v>
      </c>
      <c r="D3" s="11" t="s">
        <v>0</v>
      </c>
      <c r="E3" s="18" t="s">
        <v>1</v>
      </c>
      <c r="G3" s="8">
        <v>0</v>
      </c>
      <c r="H3" s="28">
        <v>100000</v>
      </c>
      <c r="I3" s="24">
        <f>1-(H4/H3)</f>
        <v>3.0999999999999917E-3</v>
      </c>
      <c r="K3" s="61" t="s">
        <v>3</v>
      </c>
      <c r="L3" s="58">
        <v>10</v>
      </c>
    </row>
    <row r="4" spans="2:17" ht="15.75">
      <c r="B4" s="14">
        <v>1</v>
      </c>
      <c r="C4" s="26">
        <f>LN(1+ (-0.093%))</f>
        <v>-9.3043271830613866E-4</v>
      </c>
      <c r="D4" s="19">
        <f>LN(1+0.907%)</f>
        <v>9.0291145845199997E-3</v>
      </c>
      <c r="E4" s="5">
        <f>LN(1-0.093%)</f>
        <v>-9.3043271830613866E-4</v>
      </c>
      <c r="F4" s="4"/>
      <c r="G4" s="9">
        <v>1</v>
      </c>
      <c r="H4" s="28">
        <v>99690</v>
      </c>
      <c r="I4" s="24">
        <f t="shared" ref="I4:I67" si="0">1-(H5/H4)</f>
        <v>2.0062192797676293E-4</v>
      </c>
      <c r="K4" s="62" t="s">
        <v>10</v>
      </c>
      <c r="L4" s="58">
        <v>1000</v>
      </c>
      <c r="O4" s="4"/>
      <c r="Q4" s="4"/>
    </row>
    <row r="5" spans="2:17" ht="15.75">
      <c r="B5" s="15">
        <v>2</v>
      </c>
      <c r="C5" s="27">
        <f>LN(1+(-0.035%))</f>
        <v>-3.500612642953807E-4</v>
      </c>
      <c r="D5" s="21">
        <f>LN(1+0.965%)</f>
        <v>9.6037361426946893E-3</v>
      </c>
      <c r="E5" s="3">
        <f>LN(1-0.035%)</f>
        <v>-3.500612642953807E-4</v>
      </c>
      <c r="F5" s="4"/>
      <c r="G5" s="9">
        <v>2</v>
      </c>
      <c r="H5" s="28">
        <v>99670</v>
      </c>
      <c r="I5" s="24">
        <f t="shared" si="0"/>
        <v>1.5049663890842613E-4</v>
      </c>
      <c r="K5" s="62" t="s">
        <v>11</v>
      </c>
      <c r="L5" s="58">
        <v>800</v>
      </c>
      <c r="O5" s="4"/>
      <c r="Q5" s="4"/>
    </row>
    <row r="6" spans="2:17" ht="15.75">
      <c r="B6" s="15">
        <v>3</v>
      </c>
      <c r="C6" s="27">
        <f>LN(1+0.063%)</f>
        <v>6.298016333095459E-4</v>
      </c>
      <c r="D6" s="21">
        <f>LN(1+1.063%)</f>
        <v>1.0573898770514512E-2</v>
      </c>
      <c r="E6" s="3">
        <f>LN(1+0.063%)</f>
        <v>6.298016333095459E-4</v>
      </c>
      <c r="F6" s="4"/>
      <c r="G6" s="9">
        <v>3</v>
      </c>
      <c r="H6" s="28">
        <v>99655</v>
      </c>
      <c r="I6" s="24">
        <f t="shared" si="0"/>
        <v>1.1038081380765341E-4</v>
      </c>
      <c r="K6" s="62" t="s">
        <v>16</v>
      </c>
      <c r="L6" s="58">
        <v>200</v>
      </c>
      <c r="O6" s="4"/>
      <c r="Q6" s="4"/>
    </row>
    <row r="7" spans="2:17" ht="15.75">
      <c r="B7" s="15">
        <v>4</v>
      </c>
      <c r="C7" s="27">
        <f>LN(1+0.194%)</f>
        <v>1.9381206302590351E-3</v>
      </c>
      <c r="D7" s="21">
        <f>LN(1+1.194%)</f>
        <v>1.1869280570089642E-2</v>
      </c>
      <c r="E7" s="3">
        <f>LN(1+0.194%)</f>
        <v>1.9381206302590351E-3</v>
      </c>
      <c r="F7" s="4"/>
      <c r="G7" s="9">
        <v>4</v>
      </c>
      <c r="H7" s="28">
        <v>99644</v>
      </c>
      <c r="I7" s="24">
        <f t="shared" si="0"/>
        <v>8.0285817510294955E-5</v>
      </c>
      <c r="K7" s="62" t="s">
        <v>17</v>
      </c>
      <c r="L7" s="58">
        <v>0.2</v>
      </c>
      <c r="O7" s="4"/>
      <c r="Q7" s="4"/>
    </row>
    <row r="8" spans="2:17" ht="15.75">
      <c r="B8" s="15">
        <v>5</v>
      </c>
      <c r="C8" s="27">
        <f>LN(1+0.339%)</f>
        <v>3.3842669031452035E-3</v>
      </c>
      <c r="D8" s="21">
        <f>LN(1+1.339%)</f>
        <v>1.3301146239128455E-2</v>
      </c>
      <c r="E8" s="3">
        <f>LN(1+0.293%)</f>
        <v>2.925715916203722E-3</v>
      </c>
      <c r="F8" s="4"/>
      <c r="G8" s="9">
        <v>5</v>
      </c>
      <c r="H8" s="28">
        <v>99636</v>
      </c>
      <c r="I8" s="24">
        <f t="shared" si="0"/>
        <v>9.0328796820471347E-5</v>
      </c>
      <c r="K8" s="62" t="s">
        <v>18</v>
      </c>
      <c r="L8" s="58">
        <v>10000</v>
      </c>
      <c r="O8" s="4"/>
      <c r="Q8" s="4"/>
    </row>
    <row r="9" spans="2:17" ht="15.75">
      <c r="B9" s="15">
        <v>6</v>
      </c>
      <c r="C9" s="27">
        <f>LN(1+0.478%)</f>
        <v>4.7686120751020931E-3</v>
      </c>
      <c r="D9" s="21">
        <f>LN(1+1.478%)</f>
        <v>1.4671840231868606E-2</v>
      </c>
      <c r="E9" s="3">
        <f>LN(1+0.378%)</f>
        <v>3.7728737524981605E-3</v>
      </c>
      <c r="F9" s="4"/>
      <c r="G9" s="9">
        <v>6</v>
      </c>
      <c r="H9" s="28">
        <v>99627</v>
      </c>
      <c r="I9" s="24">
        <f t="shared" si="0"/>
        <v>8.0299517199122761E-5</v>
      </c>
      <c r="K9" s="62" t="s">
        <v>5</v>
      </c>
      <c r="L9" s="58">
        <v>60</v>
      </c>
      <c r="O9" s="4"/>
      <c r="Q9" s="4"/>
    </row>
    <row r="10" spans="2:17" ht="15.75">
      <c r="B10" s="15">
        <v>7</v>
      </c>
      <c r="C10" s="27">
        <f>LN(1+0.612%)</f>
        <v>6.101348857976239E-3</v>
      </c>
      <c r="D10" s="21">
        <f>LN(1+1.612%)</f>
        <v>1.5991452418045751E-2</v>
      </c>
      <c r="E10" s="3">
        <f>LN(1+0.467%)</f>
        <v>4.6591293807231038E-3</v>
      </c>
      <c r="F10" s="4"/>
      <c r="G10" s="9">
        <v>7</v>
      </c>
      <c r="H10" s="28">
        <v>99619</v>
      </c>
      <c r="I10" s="24">
        <f t="shared" si="0"/>
        <v>7.0267720013283963E-5</v>
      </c>
      <c r="K10" s="62" t="s">
        <v>19</v>
      </c>
      <c r="L10" s="58">
        <v>1.4999999999999999E-2</v>
      </c>
      <c r="O10" s="4"/>
      <c r="Q10" s="4"/>
    </row>
    <row r="11" spans="2:17" ht="15.75">
      <c r="B11" s="15">
        <v>8</v>
      </c>
      <c r="C11" s="27">
        <f>LN(1+0.739%)</f>
        <v>7.3628277365671065E-3</v>
      </c>
      <c r="D11" s="21">
        <f>LN(1+1.739%)</f>
        <v>1.724052438240219E-2</v>
      </c>
      <c r="E11" s="3">
        <f>LN(1+0.559%)</f>
        <v>5.5744339326019819E-3</v>
      </c>
      <c r="F11" s="4"/>
      <c r="G11" s="9">
        <v>8</v>
      </c>
      <c r="H11" s="28">
        <v>99612</v>
      </c>
      <c r="I11" s="24">
        <f t="shared" si="0"/>
        <v>9.0350560173479977E-5</v>
      </c>
      <c r="K11" s="62" t="s">
        <v>20</v>
      </c>
      <c r="L11" s="58">
        <v>0.05</v>
      </c>
      <c r="O11" s="4"/>
      <c r="Q11" s="4"/>
    </row>
    <row r="12" spans="2:17" ht="15.75">
      <c r="B12" s="15">
        <v>9</v>
      </c>
      <c r="C12" s="27">
        <v>8.5800000000000008E-3</v>
      </c>
      <c r="D12" s="21">
        <f>LN(1+1.858%)</f>
        <v>1.8409500482749228E-2</v>
      </c>
      <c r="E12" s="3">
        <f>LN(1+0.654%)</f>
        <v>6.5187069871154484E-3</v>
      </c>
      <c r="F12" s="4"/>
      <c r="G12" s="9">
        <v>9</v>
      </c>
      <c r="H12" s="28">
        <v>99603</v>
      </c>
      <c r="I12" s="24">
        <f t="shared" si="0"/>
        <v>8.0318865897655023E-5</v>
      </c>
      <c r="K12" s="63" t="s">
        <v>12</v>
      </c>
      <c r="L12" s="59">
        <f xml:space="preserve"> (1/L3) * LN(L4/L5)  - C13</f>
        <v>1.2700714615450123E-2</v>
      </c>
      <c r="M12" s="25"/>
      <c r="O12" s="4"/>
      <c r="Q12" s="4"/>
    </row>
    <row r="13" spans="2:17" ht="15.75">
      <c r="B13" s="15">
        <v>10</v>
      </c>
      <c r="C13" s="27">
        <f>LN(1+0.966%)</f>
        <v>9.613640515970856E-3</v>
      </c>
      <c r="D13" s="21">
        <f>LN(1+1.966%)</f>
        <v>1.9469238394942068E-2</v>
      </c>
      <c r="E13" s="3">
        <f>LN(1+0.741%)</f>
        <v>7.3826808237227202E-3</v>
      </c>
      <c r="F13" s="4"/>
      <c r="G13" s="9">
        <v>10</v>
      </c>
      <c r="H13" s="28">
        <v>99595</v>
      </c>
      <c r="I13" s="24">
        <f t="shared" si="0"/>
        <v>8.0325317535989704E-5</v>
      </c>
      <c r="O13" s="4"/>
      <c r="Q13" s="4"/>
    </row>
    <row r="14" spans="2:17" ht="15.75">
      <c r="B14" s="15">
        <v>11</v>
      </c>
      <c r="C14" s="20">
        <f>LN(1+1.062%)</f>
        <v>1.0564003903476862E-2</v>
      </c>
      <c r="D14" s="21">
        <f>LN(1+2.062%)</f>
        <v>2.041028577162143E-2</v>
      </c>
      <c r="E14" s="3">
        <f>LN(1+0.815%)</f>
        <v>8.116968101947614E-3</v>
      </c>
      <c r="F14" s="4"/>
      <c r="G14" s="9">
        <v>11</v>
      </c>
      <c r="H14" s="28">
        <v>99587</v>
      </c>
      <c r="I14" s="24">
        <f t="shared" si="0"/>
        <v>1.0041471276367453E-4</v>
      </c>
      <c r="O14" s="4"/>
      <c r="Q14" s="4"/>
    </row>
    <row r="15" spans="2:17" ht="15.75">
      <c r="B15" s="15">
        <v>12</v>
      </c>
      <c r="C15" s="20">
        <f>LN(1+1.149%)</f>
        <v>1.1424491269329082E-2</v>
      </c>
      <c r="D15" s="21">
        <f>LN(1+2.149%)</f>
        <v>2.1262345702413962E-2</v>
      </c>
      <c r="E15" s="3">
        <f>LN(1+0.885%)</f>
        <v>8.8110682785499609E-3</v>
      </c>
      <c r="F15" s="4"/>
      <c r="G15" s="9">
        <v>12</v>
      </c>
      <c r="H15" s="28">
        <v>99577</v>
      </c>
      <c r="I15" s="24">
        <f t="shared" si="0"/>
        <v>1.0042479689087447E-4</v>
      </c>
      <c r="O15" s="4"/>
      <c r="Q15" s="4"/>
    </row>
    <row r="16" spans="2:17" ht="15.75">
      <c r="B16" s="15">
        <v>13</v>
      </c>
      <c r="C16" s="20">
        <f>LN(1+1.227%)</f>
        <v>1.2195333699877048E-2</v>
      </c>
      <c r="D16" s="21">
        <f>LN(1+2.227%)</f>
        <v>2.2025644756970914E-2</v>
      </c>
      <c r="E16" s="3">
        <f>LN(1+0.951%)</f>
        <v>9.4650646156989333E-3</v>
      </c>
      <c r="F16" s="4"/>
      <c r="G16" s="9">
        <v>13</v>
      </c>
      <c r="H16" s="28">
        <v>99567</v>
      </c>
      <c r="I16" s="24">
        <f t="shared" si="0"/>
        <v>1.2052185965227835E-4</v>
      </c>
      <c r="O16" s="4"/>
      <c r="Q16" s="4"/>
    </row>
    <row r="17" spans="2:9" ht="15.75">
      <c r="B17" s="15">
        <v>14</v>
      </c>
      <c r="C17" s="20">
        <f>LN(1+1.294%)</f>
        <v>1.2856993502508312E-2</v>
      </c>
      <c r="D17" s="21">
        <f>LN(1+2.294%)</f>
        <v>2.2680834223057725E-2</v>
      </c>
      <c r="E17" s="3">
        <f>LN(1+0.999%)</f>
        <v>9.9404298140538909E-3</v>
      </c>
      <c r="F17" s="4"/>
      <c r="G17" s="9">
        <v>14</v>
      </c>
      <c r="H17" s="28">
        <v>99555</v>
      </c>
      <c r="I17" s="24">
        <f t="shared" si="0"/>
        <v>1.4062578474205445E-4</v>
      </c>
    </row>
    <row r="18" spans="2:9" ht="15.75">
      <c r="B18" s="16">
        <v>15</v>
      </c>
      <c r="C18" s="22">
        <f>LN(1+1.345%)</f>
        <v>1.3360351701836391E-2</v>
      </c>
      <c r="D18" s="23">
        <f>LN(1+2.345%)</f>
        <v>2.3179272947405245E-2</v>
      </c>
      <c r="E18" s="6">
        <f>LN(1+1.047%)</f>
        <v>1.0415569147701012E-2</v>
      </c>
      <c r="F18" s="4"/>
      <c r="G18" s="9">
        <v>15</v>
      </c>
      <c r="H18" s="28">
        <v>99541</v>
      </c>
      <c r="I18" s="24">
        <f t="shared" si="0"/>
        <v>1.9087612139723209E-4</v>
      </c>
    </row>
    <row r="19" spans="2:9" ht="15.75">
      <c r="G19" s="9">
        <v>16</v>
      </c>
      <c r="H19" s="28">
        <v>99522</v>
      </c>
      <c r="I19" s="24">
        <f t="shared" si="0"/>
        <v>2.5120073953499578E-4</v>
      </c>
    </row>
    <row r="20" spans="2:9" ht="15.75">
      <c r="C20" s="4"/>
      <c r="D20" s="4"/>
      <c r="E20" s="4"/>
      <c r="G20" s="9">
        <v>17</v>
      </c>
      <c r="H20" s="28">
        <v>99497</v>
      </c>
      <c r="I20" s="24">
        <f t="shared" si="0"/>
        <v>2.9146607435404093E-4</v>
      </c>
    </row>
    <row r="21" spans="2:9" ht="15.75">
      <c r="C21" s="4"/>
      <c r="D21" s="4"/>
      <c r="E21" s="4"/>
      <c r="G21" s="9">
        <v>18</v>
      </c>
      <c r="H21" s="28">
        <v>99468</v>
      </c>
      <c r="I21" s="24">
        <f t="shared" si="0"/>
        <v>3.4181847428316203E-4</v>
      </c>
    </row>
    <row r="22" spans="2:9" ht="15.75">
      <c r="C22" s="4"/>
      <c r="D22" s="4"/>
      <c r="E22" s="4"/>
      <c r="G22" s="9">
        <v>19</v>
      </c>
      <c r="H22" s="28">
        <v>99434</v>
      </c>
      <c r="I22" s="24">
        <f t="shared" si="0"/>
        <v>3.6204919846327677E-4</v>
      </c>
    </row>
    <row r="23" spans="2:9" ht="15.75">
      <c r="C23" s="4"/>
      <c r="D23" s="4"/>
      <c r="E23" s="4"/>
      <c r="G23" s="9">
        <v>20</v>
      </c>
      <c r="H23" s="28">
        <v>99398</v>
      </c>
      <c r="I23" s="24">
        <f t="shared" si="0"/>
        <v>3.8230145475759425E-4</v>
      </c>
    </row>
    <row r="24" spans="2:9" ht="15.75">
      <c r="C24" s="4"/>
      <c r="D24" s="4"/>
      <c r="E24" s="4"/>
      <c r="G24" s="9">
        <v>21</v>
      </c>
      <c r="H24" s="28">
        <v>99360</v>
      </c>
      <c r="I24" s="24">
        <f t="shared" si="0"/>
        <v>3.9251207729473769E-4</v>
      </c>
    </row>
    <row r="25" spans="2:9" ht="15.75">
      <c r="C25" s="4"/>
      <c r="D25" s="4"/>
      <c r="E25" s="4"/>
      <c r="G25" s="9">
        <v>22</v>
      </c>
      <c r="H25" s="28">
        <v>99321</v>
      </c>
      <c r="I25" s="24">
        <f t="shared" si="0"/>
        <v>4.2287129610052432E-4</v>
      </c>
    </row>
    <row r="26" spans="2:9" ht="15.75">
      <c r="C26" s="4"/>
      <c r="D26" s="4"/>
      <c r="E26" s="4"/>
      <c r="G26" s="9">
        <v>23</v>
      </c>
      <c r="H26" s="28">
        <v>99279</v>
      </c>
      <c r="I26" s="24">
        <f t="shared" si="0"/>
        <v>4.3312281549978682E-4</v>
      </c>
    </row>
    <row r="27" spans="2:9" ht="15.75">
      <c r="C27" s="4"/>
      <c r="D27" s="4"/>
      <c r="E27" s="4"/>
      <c r="G27" s="9">
        <v>24</v>
      </c>
      <c r="H27" s="28">
        <v>99236</v>
      </c>
      <c r="I27" s="24">
        <f t="shared" si="0"/>
        <v>4.3331049216011053E-4</v>
      </c>
    </row>
    <row r="28" spans="2:9" ht="15.75">
      <c r="C28" s="4"/>
      <c r="D28" s="4"/>
      <c r="E28" s="4"/>
      <c r="G28" s="9">
        <v>25</v>
      </c>
      <c r="H28" s="28">
        <v>99193</v>
      </c>
      <c r="I28" s="24">
        <f t="shared" si="0"/>
        <v>4.3349833153549788E-4</v>
      </c>
    </row>
    <row r="29" spans="2:9" ht="15.75">
      <c r="C29" s="4"/>
      <c r="D29" s="4"/>
      <c r="E29" s="4"/>
      <c r="G29" s="9">
        <v>26</v>
      </c>
      <c r="H29" s="28">
        <v>99150</v>
      </c>
      <c r="I29" s="24">
        <f t="shared" si="0"/>
        <v>4.4377206253154444E-4</v>
      </c>
    </row>
    <row r="30" spans="2:9" ht="15.75">
      <c r="C30" s="4"/>
      <c r="D30" s="4"/>
      <c r="E30" s="4"/>
      <c r="G30" s="9">
        <v>27</v>
      </c>
      <c r="H30" s="28">
        <v>99106</v>
      </c>
      <c r="I30" s="24">
        <f t="shared" si="0"/>
        <v>4.3387887716184181E-4</v>
      </c>
    </row>
    <row r="31" spans="2:9" ht="15.75">
      <c r="C31" s="4"/>
      <c r="D31" s="4"/>
      <c r="E31" s="4"/>
      <c r="G31" s="9">
        <v>28</v>
      </c>
      <c r="H31" s="28">
        <v>99063</v>
      </c>
      <c r="I31" s="24">
        <f t="shared" si="0"/>
        <v>4.3406720975536217E-4</v>
      </c>
    </row>
    <row r="32" spans="2:9" ht="15.75">
      <c r="C32" s="4"/>
      <c r="D32" s="4"/>
      <c r="E32" s="4"/>
      <c r="G32" s="9">
        <v>29</v>
      </c>
      <c r="H32" s="28">
        <v>99020</v>
      </c>
      <c r="I32" s="24">
        <f t="shared" si="0"/>
        <v>4.6455261563316252E-4</v>
      </c>
    </row>
    <row r="33" spans="3:9" ht="15.75">
      <c r="C33" s="4"/>
      <c r="D33" s="4"/>
      <c r="E33" s="4"/>
      <c r="G33" s="9">
        <v>30</v>
      </c>
      <c r="H33" s="28">
        <v>98974</v>
      </c>
      <c r="I33" s="24">
        <f t="shared" si="0"/>
        <v>4.8497585224405171E-4</v>
      </c>
    </row>
    <row r="34" spans="3:9" ht="15.75">
      <c r="C34" s="4"/>
      <c r="D34" s="4"/>
      <c r="E34" s="4"/>
      <c r="G34" s="9">
        <v>31</v>
      </c>
      <c r="H34" s="28">
        <v>98926</v>
      </c>
      <c r="I34" s="24">
        <f t="shared" si="0"/>
        <v>5.054282999413795E-4</v>
      </c>
    </row>
    <row r="35" spans="3:9" ht="15.75">
      <c r="C35" s="4"/>
      <c r="D35" s="4"/>
      <c r="E35" s="4"/>
      <c r="G35" s="9">
        <v>32</v>
      </c>
      <c r="H35" s="28">
        <v>98876</v>
      </c>
      <c r="I35" s="24">
        <f t="shared" si="0"/>
        <v>5.6636595331527317E-4</v>
      </c>
    </row>
    <row r="36" spans="3:9" ht="15.75">
      <c r="C36" s="4"/>
      <c r="D36" s="4"/>
      <c r="E36" s="4"/>
      <c r="G36" s="9">
        <v>33</v>
      </c>
      <c r="H36" s="28">
        <v>98820</v>
      </c>
      <c r="I36" s="24">
        <f t="shared" si="0"/>
        <v>5.8692572353769012E-4</v>
      </c>
    </row>
    <row r="37" spans="3:9" ht="15.75">
      <c r="C37" s="4"/>
      <c r="D37" s="4"/>
      <c r="E37" s="4"/>
      <c r="G37" s="9">
        <v>34</v>
      </c>
      <c r="H37" s="28">
        <v>98762</v>
      </c>
      <c r="I37" s="24">
        <f t="shared" si="0"/>
        <v>5.9739575950268353E-4</v>
      </c>
    </row>
    <row r="38" spans="3:9" ht="15.75">
      <c r="G38" s="9">
        <v>35</v>
      </c>
      <c r="H38" s="28">
        <v>98703</v>
      </c>
      <c r="I38" s="24">
        <f t="shared" si="0"/>
        <v>6.3827847177899688E-4</v>
      </c>
    </row>
    <row r="39" spans="3:9" ht="15.75">
      <c r="G39" s="9">
        <v>36</v>
      </c>
      <c r="H39" s="28">
        <v>98640</v>
      </c>
      <c r="I39" s="24">
        <f t="shared" si="0"/>
        <v>6.6909975669104949E-4</v>
      </c>
    </row>
    <row r="40" spans="3:9" ht="15.75">
      <c r="G40" s="9">
        <v>37</v>
      </c>
      <c r="H40" s="28">
        <v>98574</v>
      </c>
      <c r="I40" s="24">
        <f t="shared" si="0"/>
        <v>7.1012640249967784E-4</v>
      </c>
    </row>
    <row r="41" spans="3:9" ht="15.75">
      <c r="G41" s="9">
        <v>38</v>
      </c>
      <c r="H41" s="28">
        <v>98504</v>
      </c>
      <c r="I41" s="24">
        <f t="shared" si="0"/>
        <v>7.9184601640547303E-4</v>
      </c>
    </row>
    <row r="42" spans="3:9" ht="15.75">
      <c r="G42" s="9">
        <v>39</v>
      </c>
      <c r="H42" s="28">
        <v>98426</v>
      </c>
      <c r="I42" s="24">
        <f t="shared" si="0"/>
        <v>8.7375287017654735E-4</v>
      </c>
    </row>
    <row r="43" spans="3:9" ht="15.75">
      <c r="G43" s="9">
        <v>40</v>
      </c>
      <c r="H43" s="28">
        <v>98340</v>
      </c>
      <c r="I43" s="24">
        <f t="shared" si="0"/>
        <v>9.7620500305062308E-4</v>
      </c>
    </row>
    <row r="44" spans="3:9" ht="15.75">
      <c r="G44" s="9">
        <v>41</v>
      </c>
      <c r="H44" s="28">
        <v>98244</v>
      </c>
      <c r="I44" s="24">
        <f t="shared" si="0"/>
        <v>1.0484100810227437E-3</v>
      </c>
    </row>
    <row r="45" spans="3:9" ht="15.75">
      <c r="G45" s="9">
        <v>42</v>
      </c>
      <c r="H45" s="28">
        <v>98141</v>
      </c>
      <c r="I45" s="24">
        <f t="shared" si="0"/>
        <v>1.1310257690465564E-3</v>
      </c>
    </row>
    <row r="46" spans="3:9" ht="15.75">
      <c r="G46" s="9">
        <v>43</v>
      </c>
      <c r="H46" s="28">
        <v>98030</v>
      </c>
      <c r="I46" s="24">
        <f t="shared" si="0"/>
        <v>1.23431602570645E-3</v>
      </c>
    </row>
    <row r="47" spans="3:9" ht="15.75">
      <c r="G47" s="9">
        <v>44</v>
      </c>
      <c r="H47" s="28">
        <v>97909</v>
      </c>
      <c r="I47" s="24">
        <f t="shared" si="0"/>
        <v>1.3584042325015533E-3</v>
      </c>
    </row>
    <row r="48" spans="3:9" ht="15.75">
      <c r="G48" s="9">
        <v>45</v>
      </c>
      <c r="H48" s="28">
        <v>97776</v>
      </c>
      <c r="I48" s="24">
        <f t="shared" si="0"/>
        <v>1.5341188021600338E-3</v>
      </c>
    </row>
    <row r="49" spans="7:9" ht="15.75">
      <c r="G49" s="9">
        <v>46</v>
      </c>
      <c r="H49" s="28">
        <v>97626</v>
      </c>
      <c r="I49" s="24">
        <f t="shared" si="0"/>
        <v>1.7003667055907057E-3</v>
      </c>
    </row>
    <row r="50" spans="7:9" ht="15.75">
      <c r="G50" s="9">
        <v>47</v>
      </c>
      <c r="H50" s="28">
        <v>97460</v>
      </c>
      <c r="I50" s="24">
        <f t="shared" si="0"/>
        <v>1.8674327929406598E-3</v>
      </c>
    </row>
    <row r="51" spans="7:9" ht="15.75">
      <c r="G51" s="9">
        <v>48</v>
      </c>
      <c r="H51" s="28">
        <v>97278</v>
      </c>
      <c r="I51" s="24">
        <f t="shared" si="0"/>
        <v>2.035403688398163E-3</v>
      </c>
    </row>
    <row r="52" spans="7:9" ht="15.75">
      <c r="G52" s="9">
        <v>49</v>
      </c>
      <c r="H52" s="28">
        <v>97080</v>
      </c>
      <c r="I52" s="24">
        <f t="shared" si="0"/>
        <v>2.1940667490729648E-3</v>
      </c>
    </row>
    <row r="53" spans="7:9" ht="15.75">
      <c r="G53" s="9">
        <v>50</v>
      </c>
      <c r="H53" s="28">
        <v>96867</v>
      </c>
      <c r="I53" s="24">
        <f t="shared" si="0"/>
        <v>2.4569770923018597E-3</v>
      </c>
    </row>
    <row r="54" spans="7:9" ht="15.75">
      <c r="G54" s="9">
        <v>51</v>
      </c>
      <c r="H54" s="28">
        <v>96629</v>
      </c>
      <c r="I54" s="24">
        <f t="shared" si="0"/>
        <v>2.7217501992156112E-3</v>
      </c>
    </row>
    <row r="55" spans="7:9" ht="15.75">
      <c r="G55" s="9">
        <v>52</v>
      </c>
      <c r="H55" s="28">
        <v>96366</v>
      </c>
      <c r="I55" s="24">
        <f t="shared" si="0"/>
        <v>2.9263433161073049E-3</v>
      </c>
    </row>
    <row r="56" spans="7:9" ht="15.75">
      <c r="G56" s="9">
        <v>53</v>
      </c>
      <c r="H56" s="28">
        <v>96084</v>
      </c>
      <c r="I56" s="24">
        <f t="shared" si="0"/>
        <v>3.2159360559510519E-3</v>
      </c>
    </row>
    <row r="57" spans="7:9" ht="15.75">
      <c r="G57" s="9">
        <v>54</v>
      </c>
      <c r="H57" s="28">
        <v>95775</v>
      </c>
      <c r="I57" s="24">
        <f t="shared" si="0"/>
        <v>3.4873401200731236E-3</v>
      </c>
    </row>
    <row r="58" spans="7:9" ht="15.75">
      <c r="G58" s="9">
        <v>55</v>
      </c>
      <c r="H58" s="28">
        <v>95441</v>
      </c>
      <c r="I58" s="24">
        <f t="shared" si="0"/>
        <v>3.9081736360683239E-3</v>
      </c>
    </row>
    <row r="59" spans="7:9" ht="15.75">
      <c r="G59" s="9">
        <v>56</v>
      </c>
      <c r="H59" s="28">
        <v>95068</v>
      </c>
      <c r="I59" s="24">
        <f t="shared" si="0"/>
        <v>4.3968527790634315E-3</v>
      </c>
    </row>
    <row r="60" spans="7:9" ht="15.75">
      <c r="G60" s="9">
        <v>57</v>
      </c>
      <c r="H60" s="28">
        <v>94650</v>
      </c>
      <c r="I60" s="24">
        <f t="shared" si="0"/>
        <v>4.8705758055995751E-3</v>
      </c>
    </row>
    <row r="61" spans="7:9" ht="15.75">
      <c r="G61" s="9">
        <v>58</v>
      </c>
      <c r="H61" s="28">
        <v>94189</v>
      </c>
      <c r="I61" s="24">
        <f t="shared" si="0"/>
        <v>5.3615602671225338E-3</v>
      </c>
    </row>
    <row r="62" spans="7:9" ht="15.75">
      <c r="G62" s="9">
        <v>59</v>
      </c>
      <c r="H62" s="28">
        <v>93684</v>
      </c>
      <c r="I62" s="24">
        <f t="shared" si="0"/>
        <v>5.9348447974040264E-3</v>
      </c>
    </row>
    <row r="63" spans="7:9" ht="15.75">
      <c r="G63" s="9">
        <v>60</v>
      </c>
      <c r="H63" s="28">
        <v>93128</v>
      </c>
      <c r="I63" s="24">
        <f t="shared" si="0"/>
        <v>6.5930761962030848E-3</v>
      </c>
    </row>
    <row r="64" spans="7:9" ht="15.75">
      <c r="G64" s="9">
        <v>61</v>
      </c>
      <c r="H64" s="28">
        <v>92514</v>
      </c>
      <c r="I64" s="24">
        <f t="shared" si="0"/>
        <v>7.2961930086257176E-3</v>
      </c>
    </row>
    <row r="65" spans="7:9" ht="15.75">
      <c r="G65" s="9">
        <v>62</v>
      </c>
      <c r="H65" s="28">
        <v>91839</v>
      </c>
      <c r="I65" s="24">
        <f t="shared" si="0"/>
        <v>8.0358017835560069E-3</v>
      </c>
    </row>
    <row r="66" spans="7:9" ht="15.75">
      <c r="G66" s="9">
        <v>63</v>
      </c>
      <c r="H66" s="28">
        <v>91101</v>
      </c>
      <c r="I66" s="24">
        <f t="shared" si="0"/>
        <v>8.7924391609313091E-3</v>
      </c>
    </row>
    <row r="67" spans="7:9" ht="15.75">
      <c r="G67" s="9">
        <v>64</v>
      </c>
      <c r="H67" s="28">
        <v>90300</v>
      </c>
      <c r="I67" s="24">
        <f t="shared" si="0"/>
        <v>9.6788482834994083E-3</v>
      </c>
    </row>
    <row r="68" spans="7:9" ht="15.75">
      <c r="G68" s="9">
        <v>65</v>
      </c>
      <c r="H68" s="28">
        <v>89426</v>
      </c>
      <c r="I68" s="24">
        <f t="shared" ref="I68:I111" si="1">1-(H69/H68)</f>
        <v>1.0679220808265999E-2</v>
      </c>
    </row>
    <row r="69" spans="7:9" ht="15.75">
      <c r="G69" s="9">
        <v>66</v>
      </c>
      <c r="H69" s="28">
        <v>88471</v>
      </c>
      <c r="I69" s="24">
        <f t="shared" si="1"/>
        <v>1.1913508381277471E-2</v>
      </c>
    </row>
    <row r="70" spans="7:9" ht="15.75">
      <c r="G70" s="9">
        <v>67</v>
      </c>
      <c r="H70" s="28">
        <v>87417</v>
      </c>
      <c r="I70" s="24">
        <f t="shared" si="1"/>
        <v>1.3052381115801315E-2</v>
      </c>
    </row>
    <row r="71" spans="7:9" ht="15.75">
      <c r="G71" s="9">
        <v>68</v>
      </c>
      <c r="H71" s="28">
        <v>86276</v>
      </c>
      <c r="I71" s="24">
        <f t="shared" si="1"/>
        <v>1.4569521071908786E-2</v>
      </c>
    </row>
    <row r="72" spans="7:9" ht="15.75">
      <c r="G72" s="9">
        <v>69</v>
      </c>
      <c r="H72" s="28">
        <v>85019</v>
      </c>
      <c r="I72" s="24">
        <f t="shared" si="1"/>
        <v>1.5431844646490833E-2</v>
      </c>
    </row>
    <row r="73" spans="7:9" ht="15.75">
      <c r="G73" s="9">
        <v>70</v>
      </c>
      <c r="H73" s="28">
        <v>83707</v>
      </c>
      <c r="I73" s="24">
        <f t="shared" si="1"/>
        <v>1.6713058645035694E-2</v>
      </c>
    </row>
    <row r="74" spans="7:9" ht="15.75">
      <c r="G74" s="9">
        <v>71</v>
      </c>
      <c r="H74" s="28">
        <v>82308</v>
      </c>
      <c r="I74" s="24">
        <f t="shared" si="1"/>
        <v>1.8467220683287211E-2</v>
      </c>
    </row>
    <row r="75" spans="7:9" ht="15.75">
      <c r="G75" s="9">
        <v>72</v>
      </c>
      <c r="H75" s="28">
        <v>80788</v>
      </c>
      <c r="I75" s="24">
        <f t="shared" si="1"/>
        <v>2.0968460662474597E-2</v>
      </c>
    </row>
    <row r="76" spans="7:9" ht="15.75">
      <c r="G76" s="9">
        <v>73</v>
      </c>
      <c r="H76" s="28">
        <v>79094</v>
      </c>
      <c r="I76" s="24">
        <f t="shared" si="1"/>
        <v>2.3389890510026046E-2</v>
      </c>
    </row>
    <row r="77" spans="7:9" ht="15.75">
      <c r="G77" s="9">
        <v>74</v>
      </c>
      <c r="H77" s="28">
        <v>77244</v>
      </c>
      <c r="I77" s="24">
        <f t="shared" si="1"/>
        <v>2.730309150225263E-2</v>
      </c>
    </row>
    <row r="78" spans="7:9" ht="15.75">
      <c r="G78" s="9">
        <v>75</v>
      </c>
      <c r="H78" s="28">
        <v>75135</v>
      </c>
      <c r="I78" s="24">
        <f t="shared" si="1"/>
        <v>3.0305450189658578E-2</v>
      </c>
    </row>
    <row r="79" spans="7:9" ht="15.75">
      <c r="G79" s="9">
        <v>76</v>
      </c>
      <c r="H79" s="28">
        <v>72858</v>
      </c>
      <c r="I79" s="24">
        <f t="shared" si="1"/>
        <v>3.3325098136100406E-2</v>
      </c>
    </row>
    <row r="80" spans="7:9" ht="15.75">
      <c r="G80" s="9">
        <v>77</v>
      </c>
      <c r="H80" s="28">
        <v>70430</v>
      </c>
      <c r="I80" s="24">
        <f t="shared" si="1"/>
        <v>3.6376544086326845E-2</v>
      </c>
    </row>
    <row r="81" spans="7:9" ht="15.75">
      <c r="G81" s="9">
        <v>78</v>
      </c>
      <c r="H81" s="28">
        <v>67868</v>
      </c>
      <c r="I81" s="24">
        <f t="shared" si="1"/>
        <v>3.9370542818412235E-2</v>
      </c>
    </row>
    <row r="82" spans="7:9" ht="15.75">
      <c r="G82" s="9">
        <v>79</v>
      </c>
      <c r="H82" s="28">
        <v>65196</v>
      </c>
      <c r="I82" s="24">
        <f t="shared" si="1"/>
        <v>4.3929075403398965E-2</v>
      </c>
    </row>
    <row r="83" spans="7:9" ht="15.75">
      <c r="G83" s="9">
        <v>80</v>
      </c>
      <c r="H83" s="28">
        <v>62332</v>
      </c>
      <c r="I83" s="24">
        <f t="shared" si="1"/>
        <v>5.0359365975742754E-2</v>
      </c>
    </row>
    <row r="84" spans="7:9" ht="15.75">
      <c r="G84" s="9">
        <v>81</v>
      </c>
      <c r="H84" s="28">
        <v>59193</v>
      </c>
      <c r="I84" s="24">
        <f t="shared" si="1"/>
        <v>5.7996722585440863E-2</v>
      </c>
    </row>
    <row r="85" spans="7:9" ht="15.75">
      <c r="G85" s="9">
        <v>82</v>
      </c>
      <c r="H85" s="28">
        <v>55760</v>
      </c>
      <c r="I85" s="24">
        <f t="shared" si="1"/>
        <v>6.5781922525107617E-2</v>
      </c>
    </row>
    <row r="86" spans="7:9" ht="15.75">
      <c r="G86" s="9">
        <v>83</v>
      </c>
      <c r="H86" s="28">
        <v>52092</v>
      </c>
      <c r="I86" s="24">
        <f t="shared" si="1"/>
        <v>7.4502802733625084E-2</v>
      </c>
    </row>
    <row r="87" spans="7:9" ht="15.75">
      <c r="G87" s="9">
        <v>84</v>
      </c>
      <c r="H87" s="28">
        <v>48211</v>
      </c>
      <c r="I87" s="24">
        <f t="shared" si="1"/>
        <v>8.4980606085748089E-2</v>
      </c>
    </row>
    <row r="88" spans="7:9" ht="15.75">
      <c r="G88" s="9">
        <v>85</v>
      </c>
      <c r="H88" s="28">
        <v>44114</v>
      </c>
      <c r="I88" s="24">
        <f t="shared" si="1"/>
        <v>9.6431971709661335E-2</v>
      </c>
    </row>
    <row r="89" spans="7:9" ht="15.75">
      <c r="G89" s="9">
        <v>86</v>
      </c>
      <c r="H89" s="28">
        <v>39860</v>
      </c>
      <c r="I89" s="24">
        <f t="shared" si="1"/>
        <v>0.10845459106874056</v>
      </c>
    </row>
    <row r="90" spans="7:9" ht="15.75">
      <c r="G90" s="9">
        <v>87</v>
      </c>
      <c r="H90" s="28">
        <v>35537</v>
      </c>
      <c r="I90" s="24">
        <f t="shared" si="1"/>
        <v>0.12285786644905305</v>
      </c>
    </row>
    <row r="91" spans="7:9" ht="15.75">
      <c r="G91" s="9">
        <v>88</v>
      </c>
      <c r="H91" s="28">
        <v>31171</v>
      </c>
      <c r="I91" s="24">
        <f t="shared" si="1"/>
        <v>0.13714670687497998</v>
      </c>
    </row>
    <row r="92" spans="7:9" ht="15.75">
      <c r="G92" s="9">
        <v>89</v>
      </c>
      <c r="H92" s="28">
        <v>26896</v>
      </c>
      <c r="I92" s="24">
        <f t="shared" si="1"/>
        <v>0.15500446162998216</v>
      </c>
    </row>
    <row r="93" spans="7:9" ht="15.75">
      <c r="G93" s="9">
        <v>90</v>
      </c>
      <c r="H93" s="28">
        <v>22727</v>
      </c>
      <c r="I93" s="24">
        <f t="shared" si="1"/>
        <v>0.17371408456901483</v>
      </c>
    </row>
    <row r="94" spans="7:9" ht="15.75">
      <c r="G94" s="9">
        <v>91</v>
      </c>
      <c r="H94" s="28">
        <v>18779</v>
      </c>
      <c r="I94" s="24">
        <f t="shared" si="1"/>
        <v>0.1961765802225891</v>
      </c>
    </row>
    <row r="95" spans="7:9" ht="15.75">
      <c r="G95" s="9">
        <v>92</v>
      </c>
      <c r="H95" s="28">
        <v>15095</v>
      </c>
      <c r="I95" s="24">
        <f t="shared" si="1"/>
        <v>0.21470685657502486</v>
      </c>
    </row>
    <row r="96" spans="7:9" ht="15.75">
      <c r="G96" s="9">
        <v>93</v>
      </c>
      <c r="H96" s="28">
        <v>11854</v>
      </c>
      <c r="I96" s="24">
        <f t="shared" si="1"/>
        <v>0.23772566222372193</v>
      </c>
    </row>
    <row r="97" spans="7:9" ht="15.75">
      <c r="G97" s="9">
        <v>94</v>
      </c>
      <c r="H97" s="28">
        <v>9036</v>
      </c>
      <c r="I97" s="24">
        <f t="shared" si="1"/>
        <v>0.26040283311199641</v>
      </c>
    </row>
    <row r="98" spans="7:9" ht="15.75">
      <c r="G98" s="9">
        <v>95</v>
      </c>
      <c r="H98" s="28">
        <v>6683</v>
      </c>
      <c r="I98" s="24">
        <f t="shared" si="1"/>
        <v>0.27742032021547214</v>
      </c>
    </row>
    <row r="99" spans="7:9" ht="15.75">
      <c r="G99" s="9">
        <v>96</v>
      </c>
      <c r="H99" s="28">
        <v>4829</v>
      </c>
      <c r="I99" s="24">
        <f t="shared" si="1"/>
        <v>0.28349554773244978</v>
      </c>
    </row>
    <row r="100" spans="7:9" ht="15.75">
      <c r="G100" s="9">
        <v>97</v>
      </c>
      <c r="H100" s="28">
        <v>3460</v>
      </c>
      <c r="I100" s="24">
        <f t="shared" si="1"/>
        <v>0.30231213872832374</v>
      </c>
    </row>
    <row r="101" spans="7:9" ht="15.75">
      <c r="G101" s="9">
        <v>98</v>
      </c>
      <c r="H101" s="28">
        <v>2414</v>
      </c>
      <c r="I101" s="24">
        <f t="shared" si="1"/>
        <v>0.32518641259320624</v>
      </c>
    </row>
    <row r="102" spans="7:9" ht="15.75">
      <c r="G102" s="9">
        <v>99</v>
      </c>
      <c r="H102" s="28">
        <v>1629</v>
      </c>
      <c r="I102" s="24">
        <f t="shared" si="1"/>
        <v>0.34990791896869244</v>
      </c>
    </row>
    <row r="103" spans="7:9" ht="15.75">
      <c r="G103" s="9">
        <v>100</v>
      </c>
      <c r="H103" s="28">
        <v>1059</v>
      </c>
      <c r="I103" s="24">
        <f t="shared" si="1"/>
        <v>0.38054768649669501</v>
      </c>
    </row>
    <row r="104" spans="7:9" ht="15.75">
      <c r="G104" s="9">
        <v>101</v>
      </c>
      <c r="H104" s="28">
        <v>656</v>
      </c>
      <c r="I104" s="24">
        <f t="shared" si="1"/>
        <v>0.41310975609756095</v>
      </c>
    </row>
    <row r="105" spans="7:9" ht="15.75">
      <c r="G105" s="9">
        <v>102</v>
      </c>
      <c r="H105" s="28">
        <v>385</v>
      </c>
      <c r="I105" s="24">
        <f t="shared" si="1"/>
        <v>0.44415584415584419</v>
      </c>
    </row>
    <row r="106" spans="7:9" ht="15.75">
      <c r="G106" s="9">
        <v>103</v>
      </c>
      <c r="H106" s="28">
        <v>214</v>
      </c>
      <c r="I106" s="24">
        <f t="shared" si="1"/>
        <v>0.47663551401869164</v>
      </c>
    </row>
    <row r="107" spans="7:9" ht="15.75">
      <c r="G107" s="9">
        <v>104</v>
      </c>
      <c r="H107" s="28">
        <v>112</v>
      </c>
      <c r="I107" s="24">
        <f t="shared" si="1"/>
        <v>0.51785714285714279</v>
      </c>
    </row>
    <row r="108" spans="7:9" ht="15.75">
      <c r="G108" s="9">
        <v>105</v>
      </c>
      <c r="H108" s="28">
        <v>54</v>
      </c>
      <c r="I108" s="24">
        <f t="shared" si="1"/>
        <v>0.53703703703703698</v>
      </c>
    </row>
    <row r="109" spans="7:9" ht="15.75">
      <c r="G109" s="9">
        <v>106</v>
      </c>
      <c r="H109" s="28">
        <v>25</v>
      </c>
      <c r="I109" s="24">
        <f t="shared" si="1"/>
        <v>0.6</v>
      </c>
    </row>
    <row r="110" spans="7:9" ht="15.75">
      <c r="G110" s="9">
        <v>107</v>
      </c>
      <c r="H110" s="28">
        <v>10</v>
      </c>
      <c r="I110" s="24">
        <f t="shared" si="1"/>
        <v>0.6</v>
      </c>
    </row>
    <row r="111" spans="7:9" ht="15.75">
      <c r="G111" s="9">
        <v>108</v>
      </c>
      <c r="H111" s="28">
        <v>4</v>
      </c>
      <c r="I111" s="24">
        <f t="shared" si="1"/>
        <v>0.75</v>
      </c>
    </row>
    <row r="112" spans="7:9" ht="15.75">
      <c r="G112" s="10">
        <v>109</v>
      </c>
      <c r="H112" s="64">
        <v>1</v>
      </c>
      <c r="I112" s="65">
        <f>1-(H113/H112)</f>
        <v>1</v>
      </c>
    </row>
    <row r="113" spans="7:9">
      <c r="G113" s="11"/>
      <c r="H113" s="12"/>
      <c r="I113" s="13"/>
    </row>
    <row r="114" spans="7:9">
      <c r="G114" s="11"/>
      <c r="H114" s="12"/>
      <c r="I114" s="13"/>
    </row>
  </sheetData>
  <mergeCells count="3">
    <mergeCell ref="B1:E1"/>
    <mergeCell ref="B2:E2"/>
    <mergeCell ref="G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A030-85A3-4AD9-B370-F7895F6B26FE}">
  <dimension ref="A1:T50"/>
  <sheetViews>
    <sheetView topLeftCell="A8" workbookViewId="0">
      <selection activeCell="P21" sqref="P21"/>
    </sheetView>
  </sheetViews>
  <sheetFormatPr defaultColWidth="8.85546875" defaultRowHeight="15"/>
  <cols>
    <col min="1" max="1" width="13.85546875" bestFit="1" customWidth="1"/>
    <col min="2" max="2" width="12" bestFit="1" customWidth="1"/>
    <col min="7" max="8" width="9.7109375" bestFit="1" customWidth="1"/>
    <col min="10" max="10" width="9.7109375" bestFit="1" customWidth="1"/>
    <col min="17" max="17" width="9.28515625" customWidth="1"/>
  </cols>
  <sheetData>
    <row r="1" spans="1:20" ht="21">
      <c r="A1" s="50" t="s">
        <v>54</v>
      </c>
      <c r="G1" s="50" t="s">
        <v>55</v>
      </c>
      <c r="H1" s="49"/>
      <c r="O1" s="50" t="s">
        <v>56</v>
      </c>
    </row>
    <row r="3" spans="1:20">
      <c r="A3" s="43" t="s">
        <v>13</v>
      </c>
      <c r="B3" s="45" t="s">
        <v>30</v>
      </c>
      <c r="C3" s="45" t="s">
        <v>14</v>
      </c>
      <c r="D3" s="45" t="s">
        <v>15</v>
      </c>
      <c r="E3" s="46" t="s">
        <v>21</v>
      </c>
      <c r="G3" s="43" t="s">
        <v>13</v>
      </c>
      <c r="H3" s="45" t="s">
        <v>23</v>
      </c>
      <c r="I3" s="45" t="s">
        <v>24</v>
      </c>
      <c r="J3" s="45" t="s">
        <v>32</v>
      </c>
      <c r="K3" s="46" t="s">
        <v>25</v>
      </c>
      <c r="L3" s="45" t="s">
        <v>26</v>
      </c>
      <c r="M3" s="45" t="s">
        <v>27</v>
      </c>
      <c r="O3" s="43" t="s">
        <v>13</v>
      </c>
      <c r="P3" s="45" t="s">
        <v>23</v>
      </c>
      <c r="Q3" s="45" t="s">
        <v>24</v>
      </c>
      <c r="R3" s="45" t="s">
        <v>25</v>
      </c>
      <c r="S3" s="46" t="s">
        <v>26</v>
      </c>
      <c r="T3" s="45" t="s">
        <v>27</v>
      </c>
    </row>
    <row r="4" spans="1:20">
      <c r="A4" s="47">
        <v>0</v>
      </c>
      <c r="B4" s="39">
        <f>EXP(-(data!C13 + data!L12)*'Basic Case'!A14)</f>
        <v>0.79999999999999993</v>
      </c>
      <c r="C4" s="39">
        <f>data!$L$4*'Basic Case'!B4</f>
        <v>799.99999999999989</v>
      </c>
      <c r="D4" s="39">
        <f>data!L6</f>
        <v>200</v>
      </c>
      <c r="E4" s="34">
        <f>C4+D4</f>
        <v>999.99999999999989</v>
      </c>
      <c r="G4" s="47">
        <v>0</v>
      </c>
      <c r="H4" s="39">
        <v>1</v>
      </c>
      <c r="I4" s="39"/>
      <c r="J4" s="39"/>
      <c r="K4" s="34">
        <v>1000</v>
      </c>
      <c r="L4" s="51"/>
      <c r="M4" s="39"/>
      <c r="O4" s="47">
        <v>0</v>
      </c>
      <c r="P4" s="39">
        <v>1</v>
      </c>
      <c r="Q4" s="39"/>
      <c r="R4" s="39">
        <f>E4</f>
        <v>999.99999999999989</v>
      </c>
      <c r="S4" s="34"/>
      <c r="T4" s="51"/>
    </row>
    <row r="5" spans="1:20">
      <c r="A5" s="47">
        <v>1</v>
      </c>
      <c r="B5" s="39">
        <f>$B$4/EXP(-(data!C4+data!$L$12)*A5)</f>
        <v>0.8094718593932918</v>
      </c>
      <c r="C5" s="39">
        <f>data!$L$4*'Basic Case'!B5</f>
        <v>809.47185939329177</v>
      </c>
      <c r="D5" s="41">
        <f>$D$4*EXP(data!C4*'Basic Case'!A5)</f>
        <v>199.81399999999999</v>
      </c>
      <c r="E5" s="34">
        <f t="shared" ref="E5:E14" si="0">C5+D5</f>
        <v>1009.2858593932917</v>
      </c>
      <c r="G5" s="47">
        <v>1</v>
      </c>
      <c r="H5" s="39">
        <f>EXP(-data!C4 * G5)</f>
        <v>1.0009308657051057</v>
      </c>
      <c r="I5" s="39">
        <f>data!I64</f>
        <v>7.2961930086257176E-3</v>
      </c>
      <c r="J5" s="41">
        <f>E5-E4*data!$L$10</f>
        <v>994.28585939329173</v>
      </c>
      <c r="K5" s="34">
        <f t="shared" ref="K5:K14" si="1" xml:space="preserve"> MAX($K$4,J5)</f>
        <v>1000</v>
      </c>
      <c r="L5" s="51">
        <v>1</v>
      </c>
      <c r="M5" s="39">
        <f>H5*L5*(I5+(1-I5)*data!$L$11)*K5*((1-data!$L$11)^G4)</f>
        <v>56.984378830506806</v>
      </c>
      <c r="O5" s="47">
        <v>1</v>
      </c>
      <c r="P5" s="39">
        <f>EXP(-data!C4 * 'Basic Case'!O5)</f>
        <v>1.0009308657051057</v>
      </c>
      <c r="Q5" s="39">
        <f>data!I64</f>
        <v>7.2961930086257176E-3</v>
      </c>
      <c r="R5" s="41">
        <f>E5-E4*data!$L$10</f>
        <v>994.28585939329173</v>
      </c>
      <c r="S5" s="34">
        <v>1</v>
      </c>
      <c r="T5" s="51">
        <f>P5*S5*(Q5+(1-Q5)*data!$L$11)*R5*((1-data!$L$11)^O4)</f>
        <v>56.65876207748336</v>
      </c>
    </row>
    <row r="6" spans="1:20">
      <c r="A6" s="47">
        <v>2</v>
      </c>
      <c r="B6" s="39">
        <f>$B$4/EXP(-(data!C5+data!$L$12)*A6)</f>
        <v>0.82000712920278007</v>
      </c>
      <c r="C6" s="39">
        <f>data!$L$4*'Basic Case'!B6</f>
        <v>820.00712920278011</v>
      </c>
      <c r="D6" s="41">
        <f>$D$4*EXP(data!C5*'Basic Case'!A6)</f>
        <v>199.86002450000001</v>
      </c>
      <c r="E6" s="34">
        <f t="shared" si="0"/>
        <v>1019.8671537027801</v>
      </c>
      <c r="G6" s="47">
        <v>2</v>
      </c>
      <c r="H6" s="39">
        <f>EXP(-data!C5 * G6)</f>
        <v>1.0007003676715749</v>
      </c>
      <c r="I6" s="39">
        <f>data!I65</f>
        <v>8.0358017835560069E-3</v>
      </c>
      <c r="J6" s="41">
        <f>E6-E5*data!$L$10</f>
        <v>1004.7278658118807</v>
      </c>
      <c r="K6" s="34">
        <f t="shared" si="1"/>
        <v>1004.7278658118807</v>
      </c>
      <c r="L6" s="51">
        <f>(1-I5)</f>
        <v>0.99270380699137428</v>
      </c>
      <c r="M6" s="39">
        <f>H6*L6*(I6+(1-I6)*data!$L$11)*K6*((1-data!$L$11)^G5)</f>
        <v>54.648047494763361</v>
      </c>
      <c r="O6" s="47">
        <v>2</v>
      </c>
      <c r="P6" s="39">
        <f>EXP(-data!C5 * 'Basic Case'!O6)</f>
        <v>1.0007003676715749</v>
      </c>
      <c r="Q6" s="39">
        <f>data!I65</f>
        <v>8.0358017835560069E-3</v>
      </c>
      <c r="R6" s="41">
        <f>E6-E5*data!$L$10</f>
        <v>1004.7278658118807</v>
      </c>
      <c r="S6" s="34">
        <f>(1-Q5)</f>
        <v>0.99270380699137428</v>
      </c>
      <c r="T6" s="51">
        <f>P6*S6*(Q6+(1-Q6)*data!$L$11)*R6*((1-data!$L$11)^O5)</f>
        <v>54.648047494763361</v>
      </c>
    </row>
    <row r="7" spans="1:20">
      <c r="A7" s="47">
        <v>3</v>
      </c>
      <c r="B7" s="39">
        <f>$B$4/EXP(-(data!C6+data!$L$12)*A7)</f>
        <v>0.83264158245890318</v>
      </c>
      <c r="C7" s="39">
        <f>data!$L$4*'Basic Case'!B7</f>
        <v>832.64158245890314</v>
      </c>
      <c r="D7" s="41">
        <f>$D$4*EXP(data!C6*'Basic Case'!A7)</f>
        <v>200.37823819000934</v>
      </c>
      <c r="E7" s="34">
        <f t="shared" si="0"/>
        <v>1033.0198206489124</v>
      </c>
      <c r="G7" s="47">
        <v>3</v>
      </c>
      <c r="H7" s="39">
        <f>EXP(-data!C6 * G7)</f>
        <v>0.99811237890189108</v>
      </c>
      <c r="I7" s="39">
        <f>data!I66</f>
        <v>8.7924391609313091E-3</v>
      </c>
      <c r="J7" s="41">
        <f>E7-E6*data!$L$10</f>
        <v>1017.7218133433707</v>
      </c>
      <c r="K7" s="34">
        <f t="shared" si="1"/>
        <v>1017.7218133433707</v>
      </c>
      <c r="L7" s="51">
        <f t="shared" ref="L7:L14" si="2">L6*(1-I6)</f>
        <v>0.98472663596861021</v>
      </c>
      <c r="M7" s="39">
        <f>H7*L7*(I7+(1-I7)*data!$L$11)*K7*((1-data!$L$11)^G6)</f>
        <v>52.678481669124523</v>
      </c>
      <c r="O7" s="47">
        <v>3</v>
      </c>
      <c r="P7" s="39">
        <f>EXP(-data!C6 * 'Basic Case'!O7)</f>
        <v>0.99811237890189108</v>
      </c>
      <c r="Q7" s="39">
        <f>data!I66</f>
        <v>8.7924391609313091E-3</v>
      </c>
      <c r="R7" s="41">
        <f>E7-E6*data!$L$10</f>
        <v>1017.7218133433707</v>
      </c>
      <c r="S7" s="34">
        <f t="shared" ref="S7:S14" si="3">S6*(1-Q6)</f>
        <v>0.98472663596861021</v>
      </c>
      <c r="T7" s="51">
        <f>P7*S7*(Q7+(1-Q7)*data!$L$11)*R7*((1-data!$L$11)^O6)</f>
        <v>52.678481669124523</v>
      </c>
    </row>
    <row r="8" spans="1:20">
      <c r="A8" s="47">
        <v>4</v>
      </c>
      <c r="B8" s="39">
        <f>$B$4/EXP(-(data!C7+data!$L$12)*A8)</f>
        <v>0.84824292985419936</v>
      </c>
      <c r="C8" s="39">
        <f>data!$L$4*'Basic Case'!B8</f>
        <v>848.24292985419936</v>
      </c>
      <c r="D8" s="41">
        <f>$D$4*EXP(data!C7*'Basic Case'!A8)</f>
        <v>201.5565221639402</v>
      </c>
      <c r="E8" s="34">
        <f t="shared" si="0"/>
        <v>1049.7994520181396</v>
      </c>
      <c r="G8" s="47">
        <v>4</v>
      </c>
      <c r="H8" s="39">
        <f>EXP(-data!C7 * G8)</f>
        <v>0.99227749046654934</v>
      </c>
      <c r="I8" s="39">
        <f>data!I67</f>
        <v>9.6788482834994083E-3</v>
      </c>
      <c r="J8" s="41">
        <f>E8-E7*data!$L$10</f>
        <v>1034.304154708406</v>
      </c>
      <c r="K8" s="34">
        <f t="shared" si="1"/>
        <v>1034.304154708406</v>
      </c>
      <c r="L8" s="51">
        <f t="shared" si="2"/>
        <v>0.97606848693170767</v>
      </c>
      <c r="M8" s="39">
        <f>H8*L8*(I8+(1-I8)*data!$L$11)*K8*((1-data!$L$11)^G7)</f>
        <v>50.841323840244698</v>
      </c>
      <c r="O8" s="47">
        <v>4</v>
      </c>
      <c r="P8" s="39">
        <f>EXP(-data!C7 * 'Basic Case'!O8)</f>
        <v>0.99227749046654934</v>
      </c>
      <c r="Q8" s="39">
        <f>data!I67</f>
        <v>9.6788482834994083E-3</v>
      </c>
      <c r="R8" s="41">
        <f>E8-E7*data!$L$10</f>
        <v>1034.304154708406</v>
      </c>
      <c r="S8" s="34">
        <f t="shared" si="3"/>
        <v>0.97606848693170767</v>
      </c>
      <c r="T8" s="51">
        <f>P8*S8*(Q8+(1-Q8)*data!$L$11)*R8*((1-data!$L$11)^O7)</f>
        <v>50.841323840244698</v>
      </c>
    </row>
    <row r="9" spans="1:20">
      <c r="A9" s="47">
        <v>5</v>
      </c>
      <c r="B9" s="39">
        <f>$B$4/EXP(-(data!C8+data!$L$12)*A9)</f>
        <v>0.86699796990485067</v>
      </c>
      <c r="C9" s="39">
        <f>data!$L$4*'Basic Case'!B9</f>
        <v>866.99796990485072</v>
      </c>
      <c r="D9" s="41">
        <f>$D$4*EXP(data!C8*'Basic Case'!A9)</f>
        <v>203.41306224859591</v>
      </c>
      <c r="E9" s="34">
        <f t="shared" si="0"/>
        <v>1070.4110321534467</v>
      </c>
      <c r="G9" s="47">
        <v>5</v>
      </c>
      <c r="H9" s="39">
        <f>EXP(-data!C8 * G9)</f>
        <v>0.98322102715102566</v>
      </c>
      <c r="I9" s="39">
        <f>data!I68</f>
        <v>1.0679220808265999E-2</v>
      </c>
      <c r="J9" s="41">
        <f>E9-E8*data!$L$10</f>
        <v>1054.6640403731747</v>
      </c>
      <c r="K9" s="34">
        <f t="shared" si="1"/>
        <v>1054.6640403731747</v>
      </c>
      <c r="L9" s="51">
        <f t="shared" si="2"/>
        <v>0.9666212681323908</v>
      </c>
      <c r="M9" s="39">
        <f>H9*L9*(I9+(1-I9)*data!$L$11)*K9*((1-data!$L$11)^G8)</f>
        <v>49.10406760693278</v>
      </c>
      <c r="O9" s="47">
        <v>5</v>
      </c>
      <c r="P9" s="39">
        <f>EXP(-data!C8 * 'Basic Case'!O9)</f>
        <v>0.98322102715102566</v>
      </c>
      <c r="Q9" s="39">
        <f>data!I68</f>
        <v>1.0679220808265999E-2</v>
      </c>
      <c r="R9" s="41">
        <f>E9-E8*data!$L$10</f>
        <v>1054.6640403731747</v>
      </c>
      <c r="S9" s="34">
        <f t="shared" si="3"/>
        <v>0.9666212681323908</v>
      </c>
      <c r="T9" s="51">
        <f>P9*S9*(Q9+(1-Q9)*data!$L$11)*R9*((1-data!$L$11)^O8)</f>
        <v>49.10406760693278</v>
      </c>
    </row>
    <row r="10" spans="1:20">
      <c r="A10" s="47">
        <v>6</v>
      </c>
      <c r="B10" s="39">
        <f>$B$4/EXP(-(data!C9+data!$L$12)*A10)</f>
        <v>0.88840497131460527</v>
      </c>
      <c r="C10" s="39">
        <f>data!$L$4*'Basic Case'!B10</f>
        <v>888.40497131460529</v>
      </c>
      <c r="D10" s="41">
        <f>$D$4*EXP(data!C9*'Basic Case'!A10)</f>
        <v>205.80498363055301</v>
      </c>
      <c r="E10" s="34">
        <f t="shared" si="0"/>
        <v>1094.2099549451582</v>
      </c>
      <c r="G10" s="47">
        <v>6</v>
      </c>
      <c r="H10" s="39">
        <f>EXP(-data!C9 * G10)</f>
        <v>0.9717937654951363</v>
      </c>
      <c r="I10" s="39">
        <f>data!I69</f>
        <v>1.1913508381277471E-2</v>
      </c>
      <c r="J10" s="41">
        <f>E10-E9*data!$L$10</f>
        <v>1078.1537894628566</v>
      </c>
      <c r="K10" s="34">
        <f t="shared" si="1"/>
        <v>1078.1537894628566</v>
      </c>
      <c r="L10" s="51">
        <f t="shared" si="2"/>
        <v>0.95629850617203893</v>
      </c>
      <c r="M10" s="39">
        <f>H10*L10*(I10+(1-I10)*data!$L$11)*K10*((1-data!$L$11)^G9)</f>
        <v>47.539337376413883</v>
      </c>
      <c r="O10" s="47">
        <v>6</v>
      </c>
      <c r="P10" s="39">
        <f>EXP(-data!C9 * 'Basic Case'!O10)</f>
        <v>0.9717937654951363</v>
      </c>
      <c r="Q10" s="39">
        <f>data!I69</f>
        <v>1.1913508381277471E-2</v>
      </c>
      <c r="R10" s="41">
        <f>E10-E9*data!$L$10</f>
        <v>1078.1537894628566</v>
      </c>
      <c r="S10" s="34">
        <f t="shared" si="3"/>
        <v>0.95629850617203893</v>
      </c>
      <c r="T10" s="51">
        <f>P10*S10*(Q10+(1-Q10)*data!$L$11)*R10*((1-data!$L$11)^O9)</f>
        <v>47.539337376413883</v>
      </c>
    </row>
    <row r="11" spans="1:20">
      <c r="A11" s="47">
        <v>7</v>
      </c>
      <c r="B11" s="39">
        <f>$B$4/EXP(-(data!C10+data!$L$12)*A11)</f>
        <v>0.91253475461614164</v>
      </c>
      <c r="C11" s="39">
        <f>data!$L$4*'Basic Case'!B11</f>
        <v>912.53475461614164</v>
      </c>
      <c r="D11" s="41">
        <f>$D$4*EXP(data!C10*'Basic Case'!A11)</f>
        <v>208.72692288245241</v>
      </c>
      <c r="E11" s="34">
        <f t="shared" si="0"/>
        <v>1121.2616774985941</v>
      </c>
      <c r="G11" s="47">
        <v>7</v>
      </c>
      <c r="H11" s="39">
        <f>EXP(-data!C10 * G11)</f>
        <v>0.95818975931836481</v>
      </c>
      <c r="I11" s="39">
        <f>data!I70</f>
        <v>1.3052381115801315E-2</v>
      </c>
      <c r="J11" s="41">
        <f>E11-E10*data!$L$10</f>
        <v>1104.8485281744167</v>
      </c>
      <c r="K11" s="34">
        <f t="shared" si="1"/>
        <v>1104.8485281744167</v>
      </c>
      <c r="L11" s="51">
        <f t="shared" si="2"/>
        <v>0.9449056359037552</v>
      </c>
      <c r="M11" s="39">
        <f>H11*L11*(I11+(1-I11)*data!$L$11)*K11*((1-data!$L$11)^G10)</f>
        <v>45.884633929218595</v>
      </c>
      <c r="O11" s="47">
        <v>7</v>
      </c>
      <c r="P11" s="39">
        <f>EXP(-data!C10 * 'Basic Case'!O11)</f>
        <v>0.95818975931836481</v>
      </c>
      <c r="Q11" s="39">
        <f>data!I70</f>
        <v>1.3052381115801315E-2</v>
      </c>
      <c r="R11" s="41">
        <f>E11-E10*data!$L$10</f>
        <v>1104.8485281744167</v>
      </c>
      <c r="S11" s="34">
        <f t="shared" si="3"/>
        <v>0.9449056359037552</v>
      </c>
      <c r="T11" s="51">
        <f>P11*S11*(Q11+(1-Q11)*data!$L$11)*R11*((1-data!$L$11)^O10)</f>
        <v>45.884633929218595</v>
      </c>
    </row>
    <row r="12" spans="1:20">
      <c r="A12" s="47">
        <v>8</v>
      </c>
      <c r="B12" s="39">
        <f>$B$4/EXP(-(data!C11+data!$L$12)*A12)</f>
        <v>0.93928605101351625</v>
      </c>
      <c r="C12" s="39">
        <f>data!$L$4*'Basic Case'!B12</f>
        <v>939.28605101351627</v>
      </c>
      <c r="D12" s="41">
        <f>$D$4*EXP(data!C11*'Basic Case'!A12)</f>
        <v>212.13438989680142</v>
      </c>
      <c r="E12" s="34">
        <f t="shared" si="0"/>
        <v>1151.4204409103177</v>
      </c>
      <c r="G12" s="47">
        <v>8</v>
      </c>
      <c r="H12" s="39">
        <f>EXP(-data!C11 * G12)</f>
        <v>0.94279857262792455</v>
      </c>
      <c r="I12" s="39">
        <f>data!I71</f>
        <v>1.4569521071908786E-2</v>
      </c>
      <c r="J12" s="41">
        <f>E12-E11*data!$L$10</f>
        <v>1134.6015157478387</v>
      </c>
      <c r="K12" s="34">
        <f t="shared" si="1"/>
        <v>1134.6015157478387</v>
      </c>
      <c r="L12" s="51">
        <f t="shared" si="2"/>
        <v>0.93257236742547078</v>
      </c>
      <c r="M12" s="39">
        <f>H12*L12*(I12+(1-I12)*data!$L$11)*K12*((1-data!$L$11)^G11)</f>
        <v>44.474394404438385</v>
      </c>
      <c r="O12" s="47">
        <v>8</v>
      </c>
      <c r="P12" s="39">
        <f>EXP(-data!C11 * 'Basic Case'!O12)</f>
        <v>0.94279857262792455</v>
      </c>
      <c r="Q12" s="39">
        <f>data!I71</f>
        <v>1.4569521071908786E-2</v>
      </c>
      <c r="R12" s="41">
        <f>E12-E11*data!$L$10</f>
        <v>1134.6015157478387</v>
      </c>
      <c r="S12" s="34">
        <f t="shared" si="3"/>
        <v>0.93257236742547078</v>
      </c>
      <c r="T12" s="51">
        <f>P12*S12*(Q12+(1-Q12)*data!$L$11)*R12*((1-data!$L$11)^O11)</f>
        <v>44.474394404438385</v>
      </c>
    </row>
    <row r="13" spans="1:20">
      <c r="A13" s="47">
        <v>9</v>
      </c>
      <c r="B13" s="39">
        <f>$B$4/EXP(-(data!C12+data!$L$12)*A13)</f>
        <v>0.96887747509637423</v>
      </c>
      <c r="C13" s="39">
        <f>data!$L$4*'Basic Case'!B13</f>
        <v>968.87747509637427</v>
      </c>
      <c r="D13" s="41">
        <f>$D$4*EXP(data!C12*'Basic Case'!A13)</f>
        <v>216.05594235766836</v>
      </c>
      <c r="E13" s="34">
        <f t="shared" si="0"/>
        <v>1184.9334174540427</v>
      </c>
      <c r="G13" s="47">
        <v>9</v>
      </c>
      <c r="H13" s="39">
        <f>EXP(-data!C12 * G13)</f>
        <v>0.92568618024359339</v>
      </c>
      <c r="I13" s="39">
        <f>data!I72</f>
        <v>1.5431844646490833E-2</v>
      </c>
      <c r="J13" s="41">
        <f>E13-E12*data!$L$10</f>
        <v>1167.6621108403879</v>
      </c>
      <c r="K13" s="34">
        <f t="shared" si="1"/>
        <v>1167.6621108403879</v>
      </c>
      <c r="L13" s="51">
        <f t="shared" si="2"/>
        <v>0.91898523466718551</v>
      </c>
      <c r="M13" s="39">
        <f>H13*L13*(I13+(1-I13)*data!$L$11)*K13*((1-data!$L$11)^G12)</f>
        <v>42.610412628184022</v>
      </c>
      <c r="O13" s="47">
        <v>9</v>
      </c>
      <c r="P13" s="39">
        <f>EXP(-data!C12 * 'Basic Case'!O13)</f>
        <v>0.92568618024359339</v>
      </c>
      <c r="Q13" s="39">
        <f>data!I72</f>
        <v>1.5431844646490833E-2</v>
      </c>
      <c r="R13" s="41">
        <f>E13-E12*data!$L$10</f>
        <v>1167.6621108403879</v>
      </c>
      <c r="S13" s="34">
        <f t="shared" si="3"/>
        <v>0.91898523466718551</v>
      </c>
      <c r="T13" s="51">
        <f>P13*S13*(Q13+(1-Q13)*data!$L$11)*R13*((1-data!$L$11)^O12)</f>
        <v>42.610412628184022</v>
      </c>
    </row>
    <row r="14" spans="1:20">
      <c r="A14" s="48">
        <v>10</v>
      </c>
      <c r="B14" s="40">
        <f>$B$4/EXP(-(data!C13+data!$L$12)*A14)</f>
        <v>1</v>
      </c>
      <c r="C14" s="40">
        <f>data!$L$4*'Basic Case'!B14</f>
        <v>1000</v>
      </c>
      <c r="D14" s="42">
        <f>$D$4*EXP(data!C13*'Basic Case'!A14)</f>
        <v>220.18184469018664</v>
      </c>
      <c r="E14" s="37">
        <f t="shared" si="0"/>
        <v>1220.1818446901866</v>
      </c>
      <c r="F14" s="29"/>
      <c r="G14" s="48">
        <v>10</v>
      </c>
      <c r="H14" s="40">
        <f>EXP(-data!C13 * G14)</f>
        <v>0.90834010534072829</v>
      </c>
      <c r="I14" s="40">
        <v>1</v>
      </c>
      <c r="J14" s="42">
        <f>E14-E13*data!$L$10</f>
        <v>1202.4078434283761</v>
      </c>
      <c r="K14" s="37">
        <f t="shared" si="1"/>
        <v>1202.4078434283761</v>
      </c>
      <c r="L14" s="52">
        <f t="shared" si="2"/>
        <v>0.90480359729338256</v>
      </c>
      <c r="M14" s="40">
        <f>H14*L14*(I14+(1-I14)*data!$L$11)*K14*((1-data!$L$11)^G13)</f>
        <v>622.82646243380202</v>
      </c>
      <c r="O14" s="48">
        <v>10</v>
      </c>
      <c r="P14" s="40">
        <f>EXP(-data!C13 * 'Basic Case'!O14)</f>
        <v>0.90834010534072829</v>
      </c>
      <c r="Q14" s="40">
        <v>1</v>
      </c>
      <c r="R14" s="42">
        <f>E14-E13*data!$L$10</f>
        <v>1202.4078434283761</v>
      </c>
      <c r="S14" s="37">
        <f t="shared" si="3"/>
        <v>0.90480359729338256</v>
      </c>
      <c r="T14" s="52">
        <f>P14*S14*(Q14+(1-Q14)*data!$L$11)*R14*((1-data!$L$11)^O13)</f>
        <v>622.82646243380202</v>
      </c>
    </row>
    <row r="18" spans="1:16">
      <c r="A18" s="53" t="s">
        <v>22</v>
      </c>
      <c r="B18" s="44">
        <f>E4</f>
        <v>999.99999999999989</v>
      </c>
      <c r="G18" s="53" t="s">
        <v>28</v>
      </c>
      <c r="H18" s="44">
        <f>SUM(M5:M14)</f>
        <v>1067.5915402136291</v>
      </c>
      <c r="O18" s="53" t="s">
        <v>28</v>
      </c>
      <c r="P18" s="44">
        <f>SUM(T5:T14)</f>
        <v>1067.2659234606056</v>
      </c>
    </row>
    <row r="19" spans="1:16">
      <c r="G19" s="54" t="s">
        <v>29</v>
      </c>
      <c r="H19" s="37">
        <f>SUMPRODUCT(G5:G14,M5:M14)/H18</f>
        <v>7.818705181518153</v>
      </c>
      <c r="O19" s="54" t="s">
        <v>29</v>
      </c>
      <c r="P19" s="37">
        <f>SUMPRODUCT(O5:O14,T5:T14)/P18</f>
        <v>7.8207855296228042</v>
      </c>
    </row>
    <row r="20" spans="1:16">
      <c r="G20" s="33"/>
      <c r="H20" s="33"/>
    </row>
    <row r="21" spans="1:16">
      <c r="G21" s="53" t="s">
        <v>39</v>
      </c>
      <c r="H21" s="44">
        <f>B18-H18</f>
        <v>-67.591540213629173</v>
      </c>
      <c r="O21" s="53" t="s">
        <v>39</v>
      </c>
      <c r="P21" s="44">
        <f>B18-P18</f>
        <v>-67.265923460605677</v>
      </c>
    </row>
    <row r="22" spans="1:16">
      <c r="G22" s="54" t="s">
        <v>38</v>
      </c>
      <c r="H22" s="37">
        <v>0</v>
      </c>
      <c r="O22" s="54" t="s">
        <v>38</v>
      </c>
      <c r="P22" s="37">
        <v>0</v>
      </c>
    </row>
    <row r="50" spans="9:9">
      <c r="I50" s="29"/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5519-EF4C-4365-AF5E-9E0332D9F5B8}">
  <dimension ref="A1:T22"/>
  <sheetViews>
    <sheetView topLeftCell="A2" workbookViewId="0">
      <selection activeCell="J6" sqref="J6"/>
    </sheetView>
  </sheetViews>
  <sheetFormatPr defaultColWidth="8.85546875" defaultRowHeight="15"/>
  <cols>
    <col min="1" max="1" width="8.42578125" customWidth="1"/>
    <col min="8" max="8" width="10" customWidth="1"/>
  </cols>
  <sheetData>
    <row r="1" spans="1:20" ht="21">
      <c r="A1" s="50" t="s">
        <v>57</v>
      </c>
      <c r="G1" s="50" t="s">
        <v>55</v>
      </c>
      <c r="H1" s="49"/>
      <c r="O1" s="50" t="s">
        <v>56</v>
      </c>
    </row>
    <row r="3" spans="1:20">
      <c r="A3" s="43" t="s">
        <v>13</v>
      </c>
      <c r="B3" s="45" t="s">
        <v>30</v>
      </c>
      <c r="C3" s="45" t="s">
        <v>14</v>
      </c>
      <c r="D3" s="45" t="s">
        <v>15</v>
      </c>
      <c r="E3" s="46" t="s">
        <v>21</v>
      </c>
      <c r="G3" s="43" t="s">
        <v>13</v>
      </c>
      <c r="H3" s="45" t="s">
        <v>23</v>
      </c>
      <c r="I3" s="45" t="s">
        <v>24</v>
      </c>
      <c r="J3" s="45" t="s">
        <v>32</v>
      </c>
      <c r="K3" s="46" t="s">
        <v>25</v>
      </c>
      <c r="L3" s="45" t="s">
        <v>26</v>
      </c>
      <c r="M3" s="45" t="s">
        <v>27</v>
      </c>
      <c r="O3" s="43" t="s">
        <v>13</v>
      </c>
      <c r="P3" s="45" t="s">
        <v>23</v>
      </c>
      <c r="Q3" s="45" t="s">
        <v>24</v>
      </c>
      <c r="R3" s="45" t="s">
        <v>25</v>
      </c>
      <c r="S3" s="46" t="s">
        <v>26</v>
      </c>
      <c r="T3" s="45" t="s">
        <v>27</v>
      </c>
    </row>
    <row r="4" spans="1:20">
      <c r="A4" s="47">
        <v>0</v>
      </c>
      <c r="B4" s="39">
        <f>EXP(-(data!D13 +data!L12)*A14)</f>
        <v>0.72491597303677446</v>
      </c>
      <c r="C4" s="39">
        <f>data!$L$4*B4</f>
        <v>724.91597303677452</v>
      </c>
      <c r="D4" s="39">
        <f>data!L6</f>
        <v>200</v>
      </c>
      <c r="E4" s="34">
        <f>C4+D4</f>
        <v>924.91597303677452</v>
      </c>
      <c r="G4" s="47">
        <v>0</v>
      </c>
      <c r="H4" s="39">
        <v>1</v>
      </c>
      <c r="I4" s="39"/>
      <c r="J4" s="39"/>
      <c r="K4" s="34">
        <v>1000</v>
      </c>
      <c r="L4" s="51"/>
      <c r="M4" s="39"/>
      <c r="O4" s="47">
        <v>0</v>
      </c>
      <c r="P4" s="39">
        <v>1</v>
      </c>
      <c r="Q4" s="39"/>
      <c r="R4" s="39">
        <v>1000</v>
      </c>
      <c r="S4" s="34"/>
      <c r="T4" s="51"/>
    </row>
    <row r="5" spans="1:20">
      <c r="A5" s="47">
        <v>1</v>
      </c>
      <c r="B5" s="39">
        <f>$B$4/EXP(-(data!D4+data!$L$12)*A5)</f>
        <v>0.74084066714419261</v>
      </c>
      <c r="C5" s="39">
        <f>data!$L$4*B5</f>
        <v>740.84066714419259</v>
      </c>
      <c r="D5" s="41">
        <f>$D$4*EXP(data!D4*A5)</f>
        <v>201.81399999999999</v>
      </c>
      <c r="E5" s="34">
        <f t="shared" ref="E5:E14" si="0">C5+D5</f>
        <v>942.65466714419256</v>
      </c>
      <c r="G5" s="47">
        <v>1</v>
      </c>
      <c r="H5" s="39">
        <f>EXP(-data!D4 * G5)</f>
        <v>0.99101152546404125</v>
      </c>
      <c r="I5" s="39">
        <f>data!I64</f>
        <v>7.2961930086257176E-3</v>
      </c>
      <c r="J5" s="41">
        <f>E5-K4*data!$L$10</f>
        <v>927.65466714419256</v>
      </c>
      <c r="K5" s="34">
        <f t="shared" ref="K5:K14" si="1" xml:space="preserve"> MAX($K$4,J5)</f>
        <v>1000</v>
      </c>
      <c r="L5" s="51">
        <v>1</v>
      </c>
      <c r="M5" s="39">
        <f>H5*L5*(I5+(1-I5)*data!$L$11)*K5*((1-data!$L$11)^G4)</f>
        <v>56.419657068582403</v>
      </c>
      <c r="O5" s="47">
        <v>1</v>
      </c>
      <c r="P5" s="39">
        <f>EXP(-data!D4 * O5)</f>
        <v>0.99101152546404125</v>
      </c>
      <c r="Q5" s="39">
        <f>data!I64</f>
        <v>7.2961930086257176E-3</v>
      </c>
      <c r="R5" s="41">
        <f>E5-R4*data!$L$10</f>
        <v>927.65466714419256</v>
      </c>
      <c r="S5" s="34">
        <v>1</v>
      </c>
      <c r="T5" s="51">
        <f>P5*S5*(Q5+(1-Q5)*data!$L$11)*R5*((1-data!$L$11)^O4)</f>
        <v>52.337958198345298</v>
      </c>
    </row>
    <row r="6" spans="1:20">
      <c r="A6" s="47">
        <v>2</v>
      </c>
      <c r="B6" s="39">
        <f>$B$4/EXP(-(data!D5+data!$L$12)*A6)</f>
        <v>0.75798579881514871</v>
      </c>
      <c r="C6" s="39">
        <f>data!$L$4*B6</f>
        <v>757.98579881514877</v>
      </c>
      <c r="D6" s="41">
        <f>$D$4*EXP(data!D5*A6)</f>
        <v>203.87862449999997</v>
      </c>
      <c r="E6" s="34">
        <f t="shared" si="0"/>
        <v>961.86442331514877</v>
      </c>
      <c r="G6" s="47">
        <v>2</v>
      </c>
      <c r="H6" s="39">
        <f>EXP(-data!D5 * G6)</f>
        <v>0.98097581583399407</v>
      </c>
      <c r="I6" s="39">
        <f>data!I65</f>
        <v>8.0358017835560069E-3</v>
      </c>
      <c r="J6" s="41">
        <f>E6-E5*data!$L$10</f>
        <v>947.72460330798583</v>
      </c>
      <c r="K6" s="34">
        <f xml:space="preserve"> MAX($K$4,J6)</f>
        <v>1000</v>
      </c>
      <c r="L6" s="51">
        <f>(1-I5)</f>
        <v>0.99270380699137428</v>
      </c>
      <c r="M6" s="39">
        <f>H6*L6*(I6+(1-I6)*data!$L$11)*K6*((1-data!$L$11)^G5)</f>
        <v>53.318809476404823</v>
      </c>
      <c r="O6" s="47">
        <v>2</v>
      </c>
      <c r="P6" s="39">
        <f>EXP(-data!D5 * O6)</f>
        <v>0.98097581583399407</v>
      </c>
      <c r="Q6" s="39">
        <f>data!I65</f>
        <v>8.0358017835560069E-3</v>
      </c>
      <c r="R6" s="41">
        <f>E6-E5*data!$L$10</f>
        <v>947.72460330798583</v>
      </c>
      <c r="S6" s="34">
        <f>(1-Q5)</f>
        <v>0.99270380699137428</v>
      </c>
      <c r="T6" s="51">
        <f>P6*S6*(Q6+(1-Q6)*data!$L$11)*R6*((1-data!$L$11)^O5)</f>
        <v>50.53154755987984</v>
      </c>
    </row>
    <row r="7" spans="1:20">
      <c r="A7" s="47">
        <v>3</v>
      </c>
      <c r="B7" s="39">
        <f>$B$4/EXP(-(data!D6+data!$L$12)*A7)</f>
        <v>0.77734136340991122</v>
      </c>
      <c r="C7" s="39">
        <f>data!$L$4*B7</f>
        <v>777.3413634099112</v>
      </c>
      <c r="D7" s="41">
        <f>$D$4*EXP(data!D6*A7)</f>
        <v>206.44603837140934</v>
      </c>
      <c r="E7" s="34">
        <f t="shared" si="0"/>
        <v>983.78740178132057</v>
      </c>
      <c r="G7" s="47">
        <v>3</v>
      </c>
      <c r="H7" s="39">
        <f>EXP(-data!D6 * G7)</f>
        <v>0.96877615854360677</v>
      </c>
      <c r="I7" s="39">
        <f>data!I66</f>
        <v>8.7924391609313091E-3</v>
      </c>
      <c r="J7" s="41">
        <f>E7-E6*data!$L$10</f>
        <v>969.35943543159328</v>
      </c>
      <c r="K7" s="34">
        <f t="shared" si="1"/>
        <v>1000</v>
      </c>
      <c r="L7" s="51">
        <f t="shared" ref="L7:L14" si="2">L6*(1-I6)</f>
        <v>0.98472663596861021</v>
      </c>
      <c r="M7" s="39">
        <f>H7*L7*(I7+(1-I7)*data!$L$11)*K7*((1-data!$L$11)^G6)</f>
        <v>50.239830599510128</v>
      </c>
      <c r="O7" s="47">
        <v>3</v>
      </c>
      <c r="P7" s="39">
        <f>EXP(-data!D6 * O7)</f>
        <v>0.96877615854360677</v>
      </c>
      <c r="Q7" s="39">
        <f>data!I66</f>
        <v>8.7924391609313091E-3</v>
      </c>
      <c r="R7" s="41">
        <f>E7-E6*data!$L$10</f>
        <v>969.35943543159328</v>
      </c>
      <c r="S7" s="34">
        <f t="shared" ref="S7:S14" si="3">S6*(1-Q6)</f>
        <v>0.98472663596861021</v>
      </c>
      <c r="T7" s="51">
        <f>P7*S7*(Q7+(1-Q7)*data!$L$11)*R7*((1-data!$L$11)^O6)</f>
        <v>48.700453826120025</v>
      </c>
    </row>
    <row r="8" spans="1:20">
      <c r="A8" s="47">
        <v>4</v>
      </c>
      <c r="B8" s="39">
        <f>$B$4/EXP(-(data!D7+data!$L$12)*A8)</f>
        <v>0.79977923202912349</v>
      </c>
      <c r="C8" s="39">
        <f>data!$L$4*B8</f>
        <v>799.77923202912348</v>
      </c>
      <c r="D8" s="41">
        <f>$D$4*EXP(data!D7*A8)</f>
        <v>209.72444215238326</v>
      </c>
      <c r="E8" s="34">
        <f t="shared" si="0"/>
        <v>1009.5036741815068</v>
      </c>
      <c r="G8" s="47">
        <v>4</v>
      </c>
      <c r="H8" s="39">
        <f>EXP(-data!D7 * G8)</f>
        <v>0.95363228981523485</v>
      </c>
      <c r="I8" s="39">
        <f>data!I67</f>
        <v>9.6788482834994083E-3</v>
      </c>
      <c r="J8" s="41">
        <f>E8-E7*data!$L$10</f>
        <v>994.74686315478698</v>
      </c>
      <c r="K8" s="34">
        <f t="shared" si="1"/>
        <v>1000</v>
      </c>
      <c r="L8" s="51">
        <f t="shared" si="2"/>
        <v>0.97606848693170767</v>
      </c>
      <c r="M8" s="39">
        <f>H8*L8*(I8+(1-I8)*data!$L$11)*K8*((1-data!$L$11)^G7)</f>
        <v>47.240707089659317</v>
      </c>
      <c r="O8" s="47">
        <v>4</v>
      </c>
      <c r="P8" s="39">
        <f>EXP(-data!D7 * O8)</f>
        <v>0.95363228981523485</v>
      </c>
      <c r="Q8" s="39">
        <f>data!I67</f>
        <v>9.6788482834994083E-3</v>
      </c>
      <c r="R8" s="41">
        <f>E8-E7*data!$L$10</f>
        <v>994.74686315478698</v>
      </c>
      <c r="S8" s="34">
        <f t="shared" si="3"/>
        <v>0.97606848693170767</v>
      </c>
      <c r="T8" s="51">
        <f>P8*S8*(Q8+(1-Q8)*data!$L$11)*R8*((1-data!$L$11)^O7)</f>
        <v>46.992545190652713</v>
      </c>
    </row>
    <row r="9" spans="1:20">
      <c r="A9" s="47">
        <v>5</v>
      </c>
      <c r="B9" s="39">
        <f>$B$4/EXP(-(data!D8+data!$L$12)*A9)</f>
        <v>0.82556256684334284</v>
      </c>
      <c r="C9" s="39">
        <f>data!$L$4*B9</f>
        <v>825.56256684334289</v>
      </c>
      <c r="D9" s="41">
        <f>$D$4*EXP(data!D8*A9)</f>
        <v>213.7534178741812</v>
      </c>
      <c r="E9" s="34">
        <f t="shared" si="0"/>
        <v>1039.3159847175241</v>
      </c>
      <c r="G9" s="47">
        <v>5</v>
      </c>
      <c r="H9" s="39">
        <f>EXP(-data!D8 * G9)</f>
        <v>0.93565755340447143</v>
      </c>
      <c r="I9" s="39">
        <f>data!I68</f>
        <v>1.0679220808265999E-2</v>
      </c>
      <c r="J9" s="41">
        <f>E9-E8*data!$L$10</f>
        <v>1024.1734296048014</v>
      </c>
      <c r="K9" s="34">
        <f t="shared" si="1"/>
        <v>1024.1734296048014</v>
      </c>
      <c r="L9" s="51">
        <f t="shared" si="2"/>
        <v>0.9666212681323908</v>
      </c>
      <c r="M9" s="39">
        <f>H9*L9*(I9+(1-I9)*data!$L$11)*K9*((1-data!$L$11)^G8)</f>
        <v>45.377713119426978</v>
      </c>
      <c r="O9" s="47">
        <v>5</v>
      </c>
      <c r="P9" s="39">
        <f>EXP(-data!D8 * O9)</f>
        <v>0.93565755340447143</v>
      </c>
      <c r="Q9" s="39">
        <f>data!I68</f>
        <v>1.0679220808265999E-2</v>
      </c>
      <c r="R9" s="41">
        <f>E9-E8*data!$L$10</f>
        <v>1024.1734296048014</v>
      </c>
      <c r="S9" s="34">
        <f t="shared" si="3"/>
        <v>0.9666212681323908</v>
      </c>
      <c r="T9" s="51">
        <f>P9*S9*(Q9+(1-Q9)*data!$L$11)*R9*((1-data!$L$11)^O8)</f>
        <v>45.377713119426978</v>
      </c>
    </row>
    <row r="10" spans="1:20">
      <c r="A10" s="47">
        <v>6</v>
      </c>
      <c r="B10" s="39">
        <f>$B$4/EXP(-(data!D9+data!$L$12)*A10)</f>
        <v>0.85430739639444919</v>
      </c>
      <c r="C10" s="39">
        <f>data!$L$4*B10</f>
        <v>854.30739639444914</v>
      </c>
      <c r="D10" s="41">
        <f>$D$4*EXP(data!D9*A10)</f>
        <v>218.40440387695992</v>
      </c>
      <c r="E10" s="34">
        <f t="shared" si="0"/>
        <v>1072.7118002714092</v>
      </c>
      <c r="G10" s="47">
        <v>6</v>
      </c>
      <c r="H10" s="39">
        <f>EXP(-data!D9 * G10)</f>
        <v>0.91573245067288933</v>
      </c>
      <c r="I10" s="39">
        <f>data!I69</f>
        <v>1.1913508381277471E-2</v>
      </c>
      <c r="J10" s="41">
        <f>E10-E9*data!$L$10</f>
        <v>1057.1220605006463</v>
      </c>
      <c r="K10" s="34">
        <f t="shared" si="1"/>
        <v>1057.1220605006463</v>
      </c>
      <c r="L10" s="51">
        <f t="shared" si="2"/>
        <v>0.95629850617203893</v>
      </c>
      <c r="M10" s="39">
        <f>H10*L10*(I10+(1-I10)*data!$L$11)*K10*((1-data!$L$11)^G9)</f>
        <v>43.923004747770818</v>
      </c>
      <c r="O10" s="47">
        <v>6</v>
      </c>
      <c r="P10" s="39">
        <f>EXP(-data!D9 * O10)</f>
        <v>0.91573245067288933</v>
      </c>
      <c r="Q10" s="39">
        <f>data!I69</f>
        <v>1.1913508381277471E-2</v>
      </c>
      <c r="R10" s="41">
        <f>E10-E9*data!$L$10</f>
        <v>1057.1220605006463</v>
      </c>
      <c r="S10" s="34">
        <f t="shared" si="3"/>
        <v>0.95629850617203893</v>
      </c>
      <c r="T10" s="51">
        <f>P10*S10*(Q10+(1-Q10)*data!$L$11)*R10*((1-data!$L$11)^O9)</f>
        <v>43.923004747770818</v>
      </c>
    </row>
    <row r="11" spans="1:20">
      <c r="A11" s="47">
        <v>7</v>
      </c>
      <c r="B11" s="39">
        <f>$B$4/EXP(-(data!D10+data!$L$12)*A11)</f>
        <v>0.8861630102055692</v>
      </c>
      <c r="C11" s="39">
        <f>data!$L$4*B11</f>
        <v>886.16301020556921</v>
      </c>
      <c r="D11" s="41">
        <f>$D$4*EXP(data!D10*A11)</f>
        <v>223.68918771694774</v>
      </c>
      <c r="E11" s="34">
        <f t="shared" si="0"/>
        <v>1109.852197922517</v>
      </c>
      <c r="G11" s="47">
        <v>7</v>
      </c>
      <c r="H11" s="39">
        <f>EXP(-data!D10 * G11)</f>
        <v>0.89409775251665891</v>
      </c>
      <c r="I11" s="39">
        <f>data!I70</f>
        <v>1.3052381115801315E-2</v>
      </c>
      <c r="J11" s="41">
        <f>E11-E10*data!$L$10</f>
        <v>1093.761520918446</v>
      </c>
      <c r="K11" s="34">
        <f t="shared" si="1"/>
        <v>1093.761520918446</v>
      </c>
      <c r="L11" s="51">
        <f t="shared" si="2"/>
        <v>0.9449056359037552</v>
      </c>
      <c r="M11" s="39">
        <f>H11*L11*(I11+(1-I11)*data!$L$11)*K11*((1-data!$L$11)^G10)</f>
        <v>42.385825765319979</v>
      </c>
      <c r="O11" s="47">
        <v>7</v>
      </c>
      <c r="P11" s="39">
        <f>EXP(-data!D10 * O11)</f>
        <v>0.89409775251665891</v>
      </c>
      <c r="Q11" s="39">
        <f>data!I70</f>
        <v>1.3052381115801315E-2</v>
      </c>
      <c r="R11" s="41">
        <f>E11-E10*data!$L$10</f>
        <v>1093.761520918446</v>
      </c>
      <c r="S11" s="34">
        <f t="shared" si="3"/>
        <v>0.9449056359037552</v>
      </c>
      <c r="T11" s="51">
        <f>P11*S11*(Q11+(1-Q11)*data!$L$11)*R11*((1-data!$L$11)^O10)</f>
        <v>42.385825765319979</v>
      </c>
    </row>
    <row r="12" spans="1:20">
      <c r="A12" s="47">
        <v>8</v>
      </c>
      <c r="B12" s="39">
        <f>$B$4/EXP(-(data!D11+data!$L$12)*A12)</f>
        <v>0.92111570752957861</v>
      </c>
      <c r="C12" s="39">
        <f>data!$L$4*B12</f>
        <v>921.11570752957857</v>
      </c>
      <c r="D12" s="41">
        <f>$D$4*EXP(data!D11*A12)</f>
        <v>229.5777062707688</v>
      </c>
      <c r="E12" s="34">
        <f t="shared" si="0"/>
        <v>1150.6934138003473</v>
      </c>
      <c r="G12" s="47">
        <v>8</v>
      </c>
      <c r="H12" s="39">
        <f>EXP(-data!D11 * G12)</f>
        <v>0.87116472783344112</v>
      </c>
      <c r="I12" s="39">
        <f>data!I71</f>
        <v>1.4569521071908786E-2</v>
      </c>
      <c r="J12" s="41">
        <f>E12-E11*data!$L$10</f>
        <v>1134.0456308315097</v>
      </c>
      <c r="K12" s="34">
        <f t="shared" si="1"/>
        <v>1134.0456308315097</v>
      </c>
      <c r="L12" s="51">
        <f t="shared" si="2"/>
        <v>0.93257236742547078</v>
      </c>
      <c r="M12" s="39">
        <f>H12*L12*(I12+(1-I12)*data!$L$11)*K12*((1-data!$L$11)^G11)</f>
        <v>41.075095348083451</v>
      </c>
      <c r="O12" s="47">
        <v>8</v>
      </c>
      <c r="P12" s="39">
        <f>EXP(-data!D11 * O12)</f>
        <v>0.87116472783344112</v>
      </c>
      <c r="Q12" s="39">
        <f>data!I71</f>
        <v>1.4569521071908786E-2</v>
      </c>
      <c r="R12" s="41">
        <f>E12-E11*data!$L$10</f>
        <v>1134.0456308315097</v>
      </c>
      <c r="S12" s="34">
        <f t="shared" si="3"/>
        <v>0.93257236742547078</v>
      </c>
      <c r="T12" s="51">
        <f>P12*S12*(Q12+(1-Q12)*data!$L$11)*R12*((1-data!$L$11)^O11)</f>
        <v>41.075095348083451</v>
      </c>
    </row>
    <row r="13" spans="1:20">
      <c r="A13" s="47">
        <v>9</v>
      </c>
      <c r="B13" s="39">
        <f>$B$4/EXP(-(data!D12+data!$L$12)*A13)</f>
        <v>0.95915020063469436</v>
      </c>
      <c r="C13" s="39">
        <f>data!$L$4*B13</f>
        <v>959.15020063469433</v>
      </c>
      <c r="D13" s="41">
        <f>$D$4*EXP(data!D12*A13)</f>
        <v>236.04037499794561</v>
      </c>
      <c r="E13" s="34">
        <f t="shared" si="0"/>
        <v>1195.19057563264</v>
      </c>
      <c r="G13" s="47">
        <v>9</v>
      </c>
      <c r="H13" s="39">
        <f>EXP(-data!D12 * G13)</f>
        <v>0.84731266844386566</v>
      </c>
      <c r="I13" s="39">
        <f>data!I72</f>
        <v>1.5431844646490833E-2</v>
      </c>
      <c r="J13" s="41">
        <f>E13-E12*data!$L$10</f>
        <v>1177.9301744256347</v>
      </c>
      <c r="K13" s="34">
        <f t="shared" si="1"/>
        <v>1177.9301744256347</v>
      </c>
      <c r="L13" s="51">
        <f t="shared" si="2"/>
        <v>0.91898523466718551</v>
      </c>
      <c r="M13" s="39">
        <f>H13*L13*(I13+(1-I13)*data!$L$11)*K13*((1-data!$L$11)^G12)</f>
        <v>39.345767229832461</v>
      </c>
      <c r="O13" s="47">
        <v>9</v>
      </c>
      <c r="P13" s="39">
        <f>EXP(-data!D12 * O13)</f>
        <v>0.84731266844386566</v>
      </c>
      <c r="Q13" s="39">
        <f>data!I72</f>
        <v>1.5431844646490833E-2</v>
      </c>
      <c r="R13" s="41">
        <f>E13-E12*data!$L$10</f>
        <v>1177.9301744256347</v>
      </c>
      <c r="S13" s="34">
        <f t="shared" si="3"/>
        <v>0.91898523466718551</v>
      </c>
      <c r="T13" s="51">
        <f>P13*S13*(Q13+(1-Q13)*data!$L$11)*R13*((1-data!$L$11)^O12)</f>
        <v>39.345767229832461</v>
      </c>
    </row>
    <row r="14" spans="1:20">
      <c r="A14" s="48">
        <v>10</v>
      </c>
      <c r="B14" s="40">
        <f>$B$4/EXP(-(data!D13+data!$L$12)*A14)</f>
        <v>1</v>
      </c>
      <c r="C14" s="40">
        <f>data!$L$4*B14</f>
        <v>1000</v>
      </c>
      <c r="D14" s="42">
        <f>$D$4*EXP(data!D13*A14)</f>
        <v>242.98743896378951</v>
      </c>
      <c r="E14" s="37">
        <f t="shared" si="0"/>
        <v>1242.9874389637896</v>
      </c>
      <c r="F14" s="29"/>
      <c r="G14" s="48">
        <v>10</v>
      </c>
      <c r="H14" s="40">
        <f>EXP(-data!D13 * G14)</f>
        <v>0.82308781413925036</v>
      </c>
      <c r="I14" s="40">
        <v>1</v>
      </c>
      <c r="J14" s="42">
        <f>E14-E13*data!$L$10</f>
        <v>1225.0595803292999</v>
      </c>
      <c r="K14" s="37">
        <f t="shared" si="1"/>
        <v>1225.0595803292999</v>
      </c>
      <c r="L14" s="52">
        <f t="shared" si="2"/>
        <v>0.90480359729338256</v>
      </c>
      <c r="M14" s="40">
        <f>H14*L14*(I14+(1-I14)*data!$L$11)*K14*((1-data!$L$11)^G13)</f>
        <v>575.00305105307507</v>
      </c>
      <c r="O14" s="48">
        <v>10</v>
      </c>
      <c r="P14" s="40">
        <f>EXP(-data!D13 * O14)</f>
        <v>0.82308781413925036</v>
      </c>
      <c r="Q14" s="40">
        <v>1</v>
      </c>
      <c r="R14" s="42">
        <f>E14-E13*data!$L$10</f>
        <v>1225.0595803292999</v>
      </c>
      <c r="S14" s="37">
        <f t="shared" si="3"/>
        <v>0.90480359729338256</v>
      </c>
      <c r="T14" s="52">
        <f>P14*S14*(Q14+(1-Q14)*data!$L$11)*R14*((1-data!$L$11)^O13)</f>
        <v>575.00305105307507</v>
      </c>
    </row>
    <row r="18" spans="1:16">
      <c r="A18" s="53" t="s">
        <v>22</v>
      </c>
      <c r="B18" s="44">
        <f>E4</f>
        <v>924.91597303677452</v>
      </c>
      <c r="G18" s="53" t="s">
        <v>28</v>
      </c>
      <c r="H18" s="44">
        <f>SUM(M5:M14)</f>
        <v>994.32946149766531</v>
      </c>
      <c r="O18" s="53" t="s">
        <v>28</v>
      </c>
      <c r="P18" s="44">
        <f>SUM(T5:T14)</f>
        <v>985.67296203850651</v>
      </c>
    </row>
    <row r="19" spans="1:16">
      <c r="G19" s="54" t="s">
        <v>29</v>
      </c>
      <c r="H19" s="37">
        <f>SUMPRODUCT(G5:G14,M5:M14)/H18</f>
        <v>7.7666512439163027</v>
      </c>
      <c r="O19" s="54" t="s">
        <v>29</v>
      </c>
      <c r="P19" s="37">
        <f>SUMPRODUCT(O5:O14,T5:T14)/P18</f>
        <v>7.8193715818724963</v>
      </c>
    </row>
    <row r="20" spans="1:16">
      <c r="G20" s="33"/>
      <c r="H20" s="33"/>
    </row>
    <row r="21" spans="1:16">
      <c r="G21" s="53" t="s">
        <v>39</v>
      </c>
      <c r="H21" s="44">
        <f>B18-H18</f>
        <v>-69.41348846089079</v>
      </c>
      <c r="O21" s="53" t="s">
        <v>39</v>
      </c>
      <c r="P21" s="44">
        <f>B18-P18</f>
        <v>-60.756989001731995</v>
      </c>
    </row>
    <row r="22" spans="1:16">
      <c r="G22" s="54" t="s">
        <v>38</v>
      </c>
      <c r="H22" s="37">
        <f>'Basic Case'!H21-R_up!H21</f>
        <v>1.8219482472616164</v>
      </c>
      <c r="O22" s="54" t="s">
        <v>38</v>
      </c>
      <c r="P22" s="37">
        <f>'Basic Case'!P21-R_up!P21</f>
        <v>-6.5089344588736822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CD2-0DB1-45A5-B8CA-B40FC2146A53}">
  <dimension ref="A1:T22"/>
  <sheetViews>
    <sheetView topLeftCell="A2" workbookViewId="0">
      <selection activeCell="P6" sqref="P6"/>
    </sheetView>
  </sheetViews>
  <sheetFormatPr defaultColWidth="8.85546875" defaultRowHeight="15"/>
  <cols>
    <col min="1" max="1" width="10.85546875" bestFit="1" customWidth="1"/>
  </cols>
  <sheetData>
    <row r="1" spans="1:20" ht="21">
      <c r="A1" s="50" t="s">
        <v>58</v>
      </c>
      <c r="G1" s="50" t="s">
        <v>55</v>
      </c>
      <c r="H1" s="49"/>
      <c r="O1" s="50" t="s">
        <v>56</v>
      </c>
    </row>
    <row r="3" spans="1:20">
      <c r="A3" s="43" t="s">
        <v>13</v>
      </c>
      <c r="B3" s="45" t="s">
        <v>30</v>
      </c>
      <c r="C3" s="45" t="s">
        <v>14</v>
      </c>
      <c r="D3" s="45" t="s">
        <v>15</v>
      </c>
      <c r="E3" s="46" t="s">
        <v>21</v>
      </c>
      <c r="G3" s="43" t="s">
        <v>13</v>
      </c>
      <c r="H3" s="45" t="s">
        <v>23</v>
      </c>
      <c r="I3" s="45" t="s">
        <v>24</v>
      </c>
      <c r="J3" s="45" t="s">
        <v>32</v>
      </c>
      <c r="K3" s="46" t="s">
        <v>25</v>
      </c>
      <c r="L3" s="45" t="s">
        <v>26</v>
      </c>
      <c r="M3" s="45" t="s">
        <v>27</v>
      </c>
      <c r="O3" s="43" t="s">
        <v>13</v>
      </c>
      <c r="P3" s="45" t="s">
        <v>23</v>
      </c>
      <c r="Q3" s="45" t="s">
        <v>24</v>
      </c>
      <c r="R3" s="45" t="s">
        <v>25</v>
      </c>
      <c r="S3" s="46" t="s">
        <v>26</v>
      </c>
      <c r="T3" s="45" t="s">
        <v>27</v>
      </c>
    </row>
    <row r="4" spans="1:20">
      <c r="A4" s="47">
        <v>0</v>
      </c>
      <c r="B4" s="39">
        <f>EXP(-(data!E13 +data!L12)*A14)</f>
        <v>0.81804825359708444</v>
      </c>
      <c r="C4" s="39">
        <f>data!$L$4*B4</f>
        <v>818.04825359708445</v>
      </c>
      <c r="D4" s="39">
        <f>data!L6</f>
        <v>200</v>
      </c>
      <c r="E4" s="34">
        <f>C4+D4</f>
        <v>1018.0482535970845</v>
      </c>
      <c r="G4" s="47">
        <v>0</v>
      </c>
      <c r="H4" s="39">
        <v>1</v>
      </c>
      <c r="I4" s="39"/>
      <c r="J4" s="39"/>
      <c r="K4" s="34">
        <v>1000</v>
      </c>
      <c r="L4" s="51"/>
      <c r="M4" s="39"/>
      <c r="O4" s="47">
        <v>0</v>
      </c>
      <c r="P4" s="39">
        <v>1</v>
      </c>
      <c r="Q4" s="39"/>
      <c r="R4" s="39">
        <v>1000</v>
      </c>
      <c r="S4" s="34"/>
      <c r="T4" s="51"/>
    </row>
    <row r="5" spans="1:20">
      <c r="A5" s="47">
        <v>1</v>
      </c>
      <c r="B5" s="39">
        <f>$B$4/EXP(-(data!E4+data!$L$12)*A5)</f>
        <v>0.82773380114083384</v>
      </c>
      <c r="C5" s="39">
        <f>data!$L$4*B5</f>
        <v>827.73380114083386</v>
      </c>
      <c r="D5" s="41">
        <f>$D$4*EXP(data!E4*A5)</f>
        <v>199.81399999999999</v>
      </c>
      <c r="E5" s="34">
        <f t="shared" ref="E5:E14" si="0">C5+D5</f>
        <v>1027.5478011408338</v>
      </c>
      <c r="G5" s="47">
        <v>1</v>
      </c>
      <c r="H5" s="39">
        <f>EXP(-data!E4 * G5)</f>
        <v>1.0009308657051057</v>
      </c>
      <c r="I5" s="39">
        <f>data!I64</f>
        <v>7.2961930086257176E-3</v>
      </c>
      <c r="J5" s="41">
        <f>E5-K4*data!$L$10</f>
        <v>1012.5478011408338</v>
      </c>
      <c r="K5" s="34">
        <f xml:space="preserve"> MAX($K$4,J5)</f>
        <v>1012.5478011408338</v>
      </c>
      <c r="L5" s="51">
        <v>1</v>
      </c>
      <c r="M5" s="39">
        <f>H5*L5*(I5+(1-I5)*data!$L$11)*K5*((1-data!$L$11)^G4)</f>
        <v>57.699407484205942</v>
      </c>
      <c r="O5" s="47">
        <v>1</v>
      </c>
      <c r="P5" s="39">
        <f>EXP(-data!E4 * O5)</f>
        <v>1.0009308657051057</v>
      </c>
      <c r="Q5" s="39">
        <f>data!I64</f>
        <v>7.2961930086257176E-3</v>
      </c>
      <c r="R5" s="41">
        <f>E5-R4*data!$L$10</f>
        <v>1012.5478011408338</v>
      </c>
      <c r="S5" s="34">
        <v>1</v>
      </c>
      <c r="T5" s="51">
        <f>P5*S5*(Q5+(1-Q5)*data!$L$11)*R5*((1-data!$L$11)^O4)</f>
        <v>57.699407484205942</v>
      </c>
    </row>
    <row r="6" spans="1:20">
      <c r="A6" s="47">
        <v>2</v>
      </c>
      <c r="B6" s="39">
        <f>$B$4/EXP(-(data!E5+data!$L$12)*A6)</f>
        <v>0.83850674997686636</v>
      </c>
      <c r="C6" s="39">
        <f>data!$L$4*B6</f>
        <v>838.50674997686633</v>
      </c>
      <c r="D6" s="41">
        <f>$D$4*EXP(data!E5*A6)</f>
        <v>199.86002450000001</v>
      </c>
      <c r="E6" s="34">
        <f t="shared" si="0"/>
        <v>1038.3667744768663</v>
      </c>
      <c r="G6" s="47">
        <v>2</v>
      </c>
      <c r="H6" s="39">
        <f>EXP(-data!E5 * G6)</f>
        <v>1.0007003676715749</v>
      </c>
      <c r="I6" s="39">
        <f>data!I65</f>
        <v>8.0358017835560069E-3</v>
      </c>
      <c r="J6" s="41">
        <f>E6-E5*data!$L$10</f>
        <v>1022.9535574597538</v>
      </c>
      <c r="K6" s="34">
        <f t="shared" ref="K6:K14" si="1" xml:space="preserve"> MAX($K$4,J6)</f>
        <v>1022.9535574597538</v>
      </c>
      <c r="L6" s="51">
        <f>(1-I5)</f>
        <v>0.99270380699137428</v>
      </c>
      <c r="M6" s="39">
        <f>H6*L6*(I6+(1-I6)*data!$L$11)*K6*((1-data!$L$11)^G5)</f>
        <v>55.639359168987752</v>
      </c>
      <c r="O6" s="47">
        <v>2</v>
      </c>
      <c r="P6" s="39">
        <f>EXP(-data!E5 * O6)</f>
        <v>1.0007003676715749</v>
      </c>
      <c r="Q6" s="39">
        <f>data!I65</f>
        <v>8.0358017835560069E-3</v>
      </c>
      <c r="R6" s="41">
        <f>E6-E5*data!$L$10</f>
        <v>1022.9535574597538</v>
      </c>
      <c r="S6" s="34">
        <f>(1-Q5)</f>
        <v>0.99270380699137428</v>
      </c>
      <c r="T6" s="51">
        <f>P6*S6*(Q6+(1-Q6)*data!$L$11)*R6*((1-data!$L$11)^O5)</f>
        <v>55.639359168987752</v>
      </c>
    </row>
    <row r="7" spans="1:20">
      <c r="A7" s="47">
        <v>3</v>
      </c>
      <c r="B7" s="39">
        <f>$B$4/EXP(-(data!E6+data!$L$12)*A7)</f>
        <v>0.85142624050352322</v>
      </c>
      <c r="C7" s="39">
        <f>data!$L$4*B7</f>
        <v>851.42624050352322</v>
      </c>
      <c r="D7" s="41">
        <f>$D$4*EXP(data!E6*A7)</f>
        <v>200.37823819000934</v>
      </c>
      <c r="E7" s="34">
        <f t="shared" si="0"/>
        <v>1051.8044786935325</v>
      </c>
      <c r="G7" s="47">
        <v>3</v>
      </c>
      <c r="H7" s="39">
        <f>EXP(-data!E6 * G7)</f>
        <v>0.99811237890189108</v>
      </c>
      <c r="I7" s="39">
        <f>data!I66</f>
        <v>8.7924391609313091E-3</v>
      </c>
      <c r="J7" s="41">
        <f>E7-E6*data!$L$10</f>
        <v>1036.2289770763796</v>
      </c>
      <c r="K7" s="34">
        <f xml:space="preserve"> MAX($K$4,J7)</f>
        <v>1036.2289770763796</v>
      </c>
      <c r="L7" s="51">
        <f t="shared" ref="L7:L14" si="2">L6*(1-I6)</f>
        <v>0.98472663596861021</v>
      </c>
      <c r="M7" s="39">
        <f>H7*L7*(I7+(1-I7)*data!$L$11)*K7*((1-data!$L$11)^G6)</f>
        <v>53.636434296919738</v>
      </c>
      <c r="O7" s="47">
        <v>3</v>
      </c>
      <c r="P7" s="39">
        <f>EXP(-data!E6 * O7)</f>
        <v>0.99811237890189108</v>
      </c>
      <c r="Q7" s="39">
        <f>data!I66</f>
        <v>8.7924391609313091E-3</v>
      </c>
      <c r="R7" s="41">
        <f>E7-E6*data!$L$10</f>
        <v>1036.2289770763796</v>
      </c>
      <c r="S7" s="34">
        <f>S6*(1-Q6)</f>
        <v>0.98472663596861021</v>
      </c>
      <c r="T7" s="51">
        <f>P7*S7*(Q7+(1-Q7)*data!$L$11)*R7*((1-data!$L$11)^O6)</f>
        <v>53.636434296919738</v>
      </c>
    </row>
    <row r="8" spans="1:20">
      <c r="A8" s="47">
        <v>4</v>
      </c>
      <c r="B8" s="39">
        <f>$B$4/EXP(-(data!E7+data!$L$12)*A8)</f>
        <v>0.86737955924162757</v>
      </c>
      <c r="C8" s="39">
        <f>data!$L$4*B8</f>
        <v>867.37955924162759</v>
      </c>
      <c r="D8" s="41">
        <f>$D$4*EXP(data!E7*A8)</f>
        <v>201.5565221639402</v>
      </c>
      <c r="E8" s="34">
        <f t="shared" si="0"/>
        <v>1068.9360814055678</v>
      </c>
      <c r="G8" s="47">
        <v>4</v>
      </c>
      <c r="H8" s="39">
        <f>EXP(-data!E7 * G8)</f>
        <v>0.99227749046654934</v>
      </c>
      <c r="I8" s="39">
        <f>data!I67</f>
        <v>9.6788482834994083E-3</v>
      </c>
      <c r="J8" s="41">
        <f>E8-E7*data!$L$10</f>
        <v>1053.1590142251648</v>
      </c>
      <c r="K8" s="34">
        <f t="shared" si="1"/>
        <v>1053.1590142251648</v>
      </c>
      <c r="L8" s="51">
        <f t="shared" si="2"/>
        <v>0.97606848693170767</v>
      </c>
      <c r="M8" s="39">
        <f>H8*L8*(I8+(1-I8)*data!$L$11)*K8*((1-data!$L$11)^G7)</f>
        <v>51.768136339537136</v>
      </c>
      <c r="O8" s="47">
        <v>4</v>
      </c>
      <c r="P8" s="39">
        <f>EXP(-data!E7 * O8)</f>
        <v>0.99227749046654934</v>
      </c>
      <c r="Q8" s="39">
        <f>data!I67</f>
        <v>9.6788482834994083E-3</v>
      </c>
      <c r="R8" s="41">
        <f>E8-E7*data!$L$10</f>
        <v>1053.1590142251648</v>
      </c>
      <c r="S8" s="34">
        <f t="shared" ref="S8:S14" si="3">S7*(1-Q7)</f>
        <v>0.97606848693170767</v>
      </c>
      <c r="T8" s="51">
        <f>P8*S8*(Q8+(1-Q8)*data!$L$11)*R8*((1-data!$L$11)^O7)</f>
        <v>51.768136339537136</v>
      </c>
    </row>
    <row r="9" spans="1:20">
      <c r="A9" s="47">
        <v>5</v>
      </c>
      <c r="B9" s="39">
        <f>$B$4/EXP(-(data!E8+data!$L$12)*A9)</f>
        <v>0.8845273877714076</v>
      </c>
      <c r="C9" s="39">
        <f>data!$L$4*B9</f>
        <v>884.52738777140758</v>
      </c>
      <c r="D9" s="41">
        <f>$D$4*EXP(data!E8*A9)</f>
        <v>202.94722018125779</v>
      </c>
      <c r="E9" s="34">
        <f t="shared" si="0"/>
        <v>1087.4746079526653</v>
      </c>
      <c r="G9" s="47">
        <v>5</v>
      </c>
      <c r="H9" s="39">
        <f>EXP(-data!E8 * G9)</f>
        <v>0.98547789825046361</v>
      </c>
      <c r="I9" s="39">
        <f>data!I68</f>
        <v>1.0679220808265999E-2</v>
      </c>
      <c r="J9" s="41">
        <f>E9-E8*data!$L$10</f>
        <v>1071.4405667315818</v>
      </c>
      <c r="K9" s="34">
        <f t="shared" si="1"/>
        <v>1071.4405667315818</v>
      </c>
      <c r="L9" s="51">
        <f t="shared" si="2"/>
        <v>0.9666212681323908</v>
      </c>
      <c r="M9" s="39">
        <f>H9*L9*(I9+(1-I9)*data!$L$11)*K9*((1-data!$L$11)^G8)</f>
        <v>49.999671009323897</v>
      </c>
      <c r="O9" s="47">
        <v>5</v>
      </c>
      <c r="P9" s="39">
        <f>EXP(-data!E8 * O9)</f>
        <v>0.98547789825046361</v>
      </c>
      <c r="Q9" s="39">
        <f>data!I68</f>
        <v>1.0679220808265999E-2</v>
      </c>
      <c r="R9" s="41">
        <f>E9-E8*data!$L$10</f>
        <v>1071.4405667315818</v>
      </c>
      <c r="S9" s="34">
        <f t="shared" si="3"/>
        <v>0.9666212681323908</v>
      </c>
      <c r="T9" s="51">
        <f>P9*S9*(Q9+(1-Q9)*data!$L$11)*R9*((1-data!$L$11)^O8)</f>
        <v>49.999671009323897</v>
      </c>
    </row>
    <row r="10" spans="1:20">
      <c r="A10" s="47">
        <v>6</v>
      </c>
      <c r="B10" s="39">
        <f>$B$4/EXP(-(data!E9+data!$L$12)*A10)</f>
        <v>0.90303639288048176</v>
      </c>
      <c r="C10" s="39">
        <f>data!$L$4*B10</f>
        <v>903.0363928804818</v>
      </c>
      <c r="D10" s="41">
        <f>$D$4*EXP(data!E9*A10)</f>
        <v>204.57908185400964</v>
      </c>
      <c r="E10" s="34">
        <f t="shared" si="0"/>
        <v>1107.6154747344915</v>
      </c>
      <c r="G10" s="47">
        <v>6</v>
      </c>
      <c r="H10" s="39">
        <f>EXP(-data!E9 * G10)</f>
        <v>0.97761705736230975</v>
      </c>
      <c r="I10" s="39">
        <f>data!I69</f>
        <v>1.1913508381277471E-2</v>
      </c>
      <c r="J10" s="41">
        <f>E10-E9*data!$L$10</f>
        <v>1091.3033556152016</v>
      </c>
      <c r="K10" s="34">
        <f t="shared" si="1"/>
        <v>1091.3033556152016</v>
      </c>
      <c r="L10" s="51">
        <f t="shared" si="2"/>
        <v>0.95629850617203893</v>
      </c>
      <c r="M10" s="39">
        <f>H10*L10*(I10+(1-I10)*data!$L$11)*K10*((1-data!$L$11)^G9)</f>
        <v>48.407489834539064</v>
      </c>
      <c r="O10" s="47">
        <v>6</v>
      </c>
      <c r="P10" s="39">
        <f>EXP(-data!E9 * O10)</f>
        <v>0.97761705736230975</v>
      </c>
      <c r="Q10" s="39">
        <f>data!I69</f>
        <v>1.1913508381277471E-2</v>
      </c>
      <c r="R10" s="41">
        <f>E10-E9*data!$L$10</f>
        <v>1091.3033556152016</v>
      </c>
      <c r="S10" s="34">
        <f t="shared" si="3"/>
        <v>0.95629850617203893</v>
      </c>
      <c r="T10" s="51">
        <f>P10*S10*(Q10+(1-Q10)*data!$L$11)*R10*((1-data!$L$11)^O9)</f>
        <v>48.407489834539064</v>
      </c>
    </row>
    <row r="11" spans="1:20">
      <c r="A11" s="47">
        <v>7</v>
      </c>
      <c r="B11" s="39">
        <f>$B$4/EXP(-(data!E10+data!$L$12)*A11)</f>
        <v>0.9237488548289523</v>
      </c>
      <c r="C11" s="39">
        <f>data!$L$4*B11</f>
        <v>923.74885482895229</v>
      </c>
      <c r="D11" s="41">
        <f>$D$4*EXP(data!E10*A11)</f>
        <v>206.63031365168126</v>
      </c>
      <c r="E11" s="34">
        <f t="shared" si="0"/>
        <v>1130.3791684806336</v>
      </c>
      <c r="G11" s="47">
        <v>7</v>
      </c>
      <c r="H11" s="39">
        <f>EXP(-data!E10 * G11)</f>
        <v>0.9679121928699288</v>
      </c>
      <c r="I11" s="39">
        <f>data!I70</f>
        <v>1.3052381115801315E-2</v>
      </c>
      <c r="J11" s="41">
        <f>E11-E10*data!$L$10</f>
        <v>1113.7649363596163</v>
      </c>
      <c r="K11" s="34">
        <f t="shared" si="1"/>
        <v>1113.7649363596163</v>
      </c>
      <c r="L11" s="51">
        <f t="shared" si="2"/>
        <v>0.9449056359037552</v>
      </c>
      <c r="M11" s="39">
        <f>H11*L11*(I11+(1-I11)*data!$L$11)*K11*((1-data!$L$11)^G10)</f>
        <v>46.724268050207215</v>
      </c>
      <c r="O11" s="47">
        <v>7</v>
      </c>
      <c r="P11" s="39">
        <f>EXP(-data!E10 * O11)</f>
        <v>0.9679121928699288</v>
      </c>
      <c r="Q11" s="39">
        <f>data!I70</f>
        <v>1.3052381115801315E-2</v>
      </c>
      <c r="R11" s="41">
        <f>E11-E10*data!$L$10</f>
        <v>1113.7649363596163</v>
      </c>
      <c r="S11" s="34">
        <f t="shared" si="3"/>
        <v>0.9449056359037552</v>
      </c>
      <c r="T11" s="51">
        <f>P11*S11*(Q11+(1-Q11)*data!$L$11)*R11*((1-data!$L$11)^O10)</f>
        <v>46.724268050207215</v>
      </c>
    </row>
    <row r="12" spans="1:20">
      <c r="A12" s="47">
        <v>8</v>
      </c>
      <c r="B12" s="39">
        <f>$B$4/EXP(-(data!E11+data!$L$12)*A12)</f>
        <v>0.94683279330307502</v>
      </c>
      <c r="C12" s="39">
        <f>data!$L$4*B12</f>
        <v>946.83279330307505</v>
      </c>
      <c r="D12" s="41">
        <f>$D$4*EXP(data!E11*A12)</f>
        <v>209.12095947256165</v>
      </c>
      <c r="E12" s="34">
        <f t="shared" si="0"/>
        <v>1155.9537527756368</v>
      </c>
      <c r="G12" s="47">
        <v>8</v>
      </c>
      <c r="H12" s="39">
        <f>EXP(-data!E11 * G12)</f>
        <v>0.9563842883297482</v>
      </c>
      <c r="I12" s="39">
        <f>data!I71</f>
        <v>1.4569521071908786E-2</v>
      </c>
      <c r="J12" s="41">
        <f>E12-E11*data!$L$10</f>
        <v>1138.9980652484273</v>
      </c>
      <c r="K12" s="34">
        <f t="shared" si="1"/>
        <v>1138.9980652484273</v>
      </c>
      <c r="L12" s="51">
        <f t="shared" si="2"/>
        <v>0.93257236742547078</v>
      </c>
      <c r="M12" s="39">
        <f>H12*L12*(I12+(1-I12)*data!$L$11)*K12*((1-data!$L$11)^G11)</f>
        <v>45.29009029776072</v>
      </c>
      <c r="O12" s="47">
        <v>8</v>
      </c>
      <c r="P12" s="39">
        <f>EXP(-data!E11 * O12)</f>
        <v>0.9563842883297482</v>
      </c>
      <c r="Q12" s="39">
        <f>data!I71</f>
        <v>1.4569521071908786E-2</v>
      </c>
      <c r="R12" s="41">
        <f>E12-E11*data!$L$10</f>
        <v>1138.9980652484273</v>
      </c>
      <c r="S12" s="34">
        <f t="shared" si="3"/>
        <v>0.93257236742547078</v>
      </c>
      <c r="T12" s="51">
        <f>P12*S12*(Q12+(1-Q12)*data!$L$11)*R12*((1-data!$L$11)^O11)</f>
        <v>45.29009029776072</v>
      </c>
    </row>
    <row r="13" spans="1:20">
      <c r="A13" s="47">
        <v>9</v>
      </c>
      <c r="B13" s="39">
        <f>$B$4/EXP(-(data!E12+data!$L$12)*A13)</f>
        <v>0.97252532765388189</v>
      </c>
      <c r="C13" s="39">
        <f>data!$L$4*B13</f>
        <v>972.52532765388185</v>
      </c>
      <c r="D13" s="41">
        <f>$D$4*EXP(data!E12*A13)</f>
        <v>212.0847013251809</v>
      </c>
      <c r="E13" s="34">
        <f t="shared" si="0"/>
        <v>1184.6100289790627</v>
      </c>
      <c r="G13" s="47">
        <v>9</v>
      </c>
      <c r="H13" s="39">
        <f>EXP(-data!E12 * G13)</f>
        <v>0.94301945755789374</v>
      </c>
      <c r="I13" s="39">
        <f>data!I72</f>
        <v>1.5431844646490833E-2</v>
      </c>
      <c r="J13" s="41">
        <f>E13-E12*data!$L$10</f>
        <v>1167.2707226874281</v>
      </c>
      <c r="K13" s="34">
        <f t="shared" si="1"/>
        <v>1167.2707226874281</v>
      </c>
      <c r="L13" s="51">
        <f t="shared" si="2"/>
        <v>0.91898523466718551</v>
      </c>
      <c r="M13" s="39">
        <f>H13*L13*(I13+(1-I13)*data!$L$11)*K13*((1-data!$L$11)^G12)</f>
        <v>43.393733560021509</v>
      </c>
      <c r="O13" s="47">
        <v>9</v>
      </c>
      <c r="P13" s="39">
        <f>EXP(-data!E12 * O13)</f>
        <v>0.94301945755789374</v>
      </c>
      <c r="Q13" s="39">
        <f>data!I72</f>
        <v>1.5431844646490833E-2</v>
      </c>
      <c r="R13" s="41">
        <f>E13-E12*data!$L$10</f>
        <v>1167.2707226874281</v>
      </c>
      <c r="S13" s="34">
        <f t="shared" si="3"/>
        <v>0.91898523466718551</v>
      </c>
      <c r="T13" s="51">
        <f>P13*S13*(Q13+(1-Q13)*data!$L$11)*R13*((1-data!$L$11)^O12)</f>
        <v>43.393733560021509</v>
      </c>
    </row>
    <row r="14" spans="1:20">
      <c r="A14" s="48">
        <v>10</v>
      </c>
      <c r="B14" s="40">
        <f>$B$4/EXP(-(data!E13+data!$L$12)*A14)</f>
        <v>1</v>
      </c>
      <c r="C14" s="40">
        <f>data!$L$4*B14</f>
        <v>1000</v>
      </c>
      <c r="D14" s="42">
        <f>$D$4*EXP(data!E13*A14)</f>
        <v>215.32406551521922</v>
      </c>
      <c r="E14" s="37">
        <f t="shared" si="0"/>
        <v>1215.3240655152192</v>
      </c>
      <c r="F14" s="29"/>
      <c r="G14" s="48">
        <v>10</v>
      </c>
      <c r="H14" s="40">
        <f>EXP(-data!E13 * G14)</f>
        <v>0.92883254605771814</v>
      </c>
      <c r="I14" s="40">
        <v>1</v>
      </c>
      <c r="J14" s="42">
        <f>E14-E13*data!$L$10</f>
        <v>1197.5549150805332</v>
      </c>
      <c r="K14" s="40">
        <f t="shared" si="1"/>
        <v>1197.5549150805332</v>
      </c>
      <c r="L14" s="52">
        <f t="shared" si="2"/>
        <v>0.90480359729338256</v>
      </c>
      <c r="M14" s="40">
        <f>H14*L14*(I14+(1-I14)*data!$L$11)*K14*((1-data!$L$11)^G13)</f>
        <v>634.30718131486742</v>
      </c>
      <c r="O14" s="48">
        <v>10</v>
      </c>
      <c r="P14" s="40">
        <f>EXP(-data!E13 * O14)</f>
        <v>0.92883254605771814</v>
      </c>
      <c r="Q14" s="40">
        <v>1</v>
      </c>
      <c r="R14" s="42">
        <f>E14-E13*data!$L$10</f>
        <v>1197.5549150805332</v>
      </c>
      <c r="S14" s="37">
        <f t="shared" si="3"/>
        <v>0.90480359729338256</v>
      </c>
      <c r="T14" s="52">
        <f>P14*S14*(Q14+(1-Q14)*data!$L$11)*R14*((1-data!$L$11)^O13)</f>
        <v>634.30718131486742</v>
      </c>
    </row>
    <row r="18" spans="1:16">
      <c r="A18" s="53" t="s">
        <v>22</v>
      </c>
      <c r="B18" s="44">
        <f>E4</f>
        <v>1018.0482535970845</v>
      </c>
      <c r="G18" s="53" t="s">
        <v>28</v>
      </c>
      <c r="H18" s="44">
        <f>SUM(M5:M14)</f>
        <v>1086.8657713563705</v>
      </c>
      <c r="O18" s="53" t="s">
        <v>28</v>
      </c>
      <c r="P18" s="44">
        <f>SUM(T5:T14)</f>
        <v>1086.8657713563705</v>
      </c>
    </row>
    <row r="19" spans="1:16">
      <c r="G19" s="54" t="s">
        <v>29</v>
      </c>
      <c r="H19" s="37">
        <f>SUMPRODUCT(G5:G14,M5:M14)/H18</f>
        <v>7.8210295199922744</v>
      </c>
      <c r="O19" s="54" t="s">
        <v>29</v>
      </c>
      <c r="P19" s="37">
        <f>SUMPRODUCT(O5:O14,T5:T14)/P18</f>
        <v>7.8210295199922744</v>
      </c>
    </row>
    <row r="20" spans="1:16">
      <c r="G20" s="33"/>
      <c r="H20" s="33"/>
    </row>
    <row r="21" spans="1:16">
      <c r="G21" s="53" t="s">
        <v>39</v>
      </c>
      <c r="H21" s="44">
        <f>B18-H18</f>
        <v>-68.817517759286034</v>
      </c>
      <c r="O21" s="53" t="s">
        <v>39</v>
      </c>
      <c r="P21" s="44">
        <f>B18-P18</f>
        <v>-68.817517759286034</v>
      </c>
    </row>
    <row r="22" spans="1:16">
      <c r="G22" s="54" t="s">
        <v>38</v>
      </c>
      <c r="H22" s="37">
        <f>'Basic Case'!H21-R_down!H21</f>
        <v>1.2259775456568605</v>
      </c>
      <c r="O22" s="54" t="s">
        <v>38</v>
      </c>
      <c r="P22" s="37">
        <f>'Basic Case'!P21-R_down!P21</f>
        <v>1.5515942986803566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0399-DD32-41EA-8D5D-6F7BFED8AE72}">
  <dimension ref="A1:T24"/>
  <sheetViews>
    <sheetView topLeftCell="A6" workbookViewId="0">
      <selection activeCell="P20" sqref="P20"/>
    </sheetView>
  </sheetViews>
  <sheetFormatPr defaultColWidth="8.85546875" defaultRowHeight="15"/>
  <cols>
    <col min="1" max="1" width="10.28515625" customWidth="1"/>
  </cols>
  <sheetData>
    <row r="1" spans="1:20" ht="21">
      <c r="A1" s="50" t="s">
        <v>59</v>
      </c>
      <c r="G1" s="50" t="s">
        <v>55</v>
      </c>
      <c r="H1" s="49"/>
      <c r="O1" s="50" t="s">
        <v>56</v>
      </c>
    </row>
    <row r="3" spans="1:20">
      <c r="A3" s="45" t="s">
        <v>65</v>
      </c>
      <c r="B3" s="44">
        <f>data!L6*(1 - 0.39)</f>
        <v>122</v>
      </c>
    </row>
    <row r="5" spans="1:20">
      <c r="A5" s="43" t="s">
        <v>13</v>
      </c>
      <c r="B5" s="45" t="s">
        <v>30</v>
      </c>
      <c r="C5" s="45" t="s">
        <v>14</v>
      </c>
      <c r="D5" s="45" t="s">
        <v>15</v>
      </c>
      <c r="E5" s="46" t="s">
        <v>21</v>
      </c>
      <c r="G5" s="43" t="s">
        <v>13</v>
      </c>
      <c r="H5" s="45" t="s">
        <v>23</v>
      </c>
      <c r="I5" s="45" t="s">
        <v>24</v>
      </c>
      <c r="J5" s="45" t="s">
        <v>32</v>
      </c>
      <c r="K5" s="46" t="s">
        <v>25</v>
      </c>
      <c r="L5" s="45" t="s">
        <v>26</v>
      </c>
      <c r="M5" s="45" t="s">
        <v>27</v>
      </c>
      <c r="O5" s="43" t="s">
        <v>13</v>
      </c>
      <c r="P5" s="45" t="s">
        <v>23</v>
      </c>
      <c r="Q5" s="45" t="s">
        <v>24</v>
      </c>
      <c r="R5" s="45" t="s">
        <v>25</v>
      </c>
      <c r="S5" s="46" t="s">
        <v>26</v>
      </c>
      <c r="T5" s="45" t="s">
        <v>27</v>
      </c>
    </row>
    <row r="6" spans="1:20">
      <c r="A6" s="47">
        <v>0</v>
      </c>
      <c r="B6" s="39">
        <f>EXP(-(data!C13 +data!L12)*A16)</f>
        <v>0.79999999999999993</v>
      </c>
      <c r="C6" s="39">
        <f>data!$L$4*B6</f>
        <v>799.99999999999989</v>
      </c>
      <c r="D6" s="39">
        <v>200</v>
      </c>
      <c r="E6" s="34">
        <f>C6+B3</f>
        <v>921.99999999999989</v>
      </c>
      <c r="G6" s="47">
        <v>0</v>
      </c>
      <c r="H6" s="39">
        <v>1</v>
      </c>
      <c r="I6" s="39"/>
      <c r="J6" s="39"/>
      <c r="K6" s="34">
        <v>1000</v>
      </c>
      <c r="L6" s="51"/>
      <c r="M6" s="39"/>
      <c r="O6" s="47">
        <v>0</v>
      </c>
      <c r="P6" s="39">
        <v>1</v>
      </c>
      <c r="Q6" s="39"/>
      <c r="R6" s="39">
        <v>1000</v>
      </c>
      <c r="S6" s="34"/>
      <c r="T6" s="51"/>
    </row>
    <row r="7" spans="1:20">
      <c r="A7" s="47">
        <v>1</v>
      </c>
      <c r="B7" s="39">
        <f>$B$6/EXP(-(data!C4+data!$L$12)*A7)</f>
        <v>0.8094718593932918</v>
      </c>
      <c r="C7" s="39">
        <f>data!$L$4*B7</f>
        <v>809.47185939329177</v>
      </c>
      <c r="D7" s="41">
        <f>$B$3*EXP(data!C4*A7)</f>
        <v>121.88654</v>
      </c>
      <c r="E7" s="34">
        <f t="shared" ref="E7:E16" si="0">C7+D7</f>
        <v>931.35839939329173</v>
      </c>
      <c r="G7" s="47">
        <v>1</v>
      </c>
      <c r="H7" s="39">
        <f>EXP(-data!C4 * G7)</f>
        <v>1.0009308657051057</v>
      </c>
      <c r="I7" s="39">
        <f>data!I64</f>
        <v>7.2961930086257176E-3</v>
      </c>
      <c r="J7" s="41">
        <f>E7-K6*data!$L$10</f>
        <v>916.35839939329173</v>
      </c>
      <c r="K7" s="34">
        <f t="shared" ref="K7:K16" si="1" xml:space="preserve"> MAX($K$6,J7)</f>
        <v>1000</v>
      </c>
      <c r="L7" s="51">
        <v>1</v>
      </c>
      <c r="M7" s="39">
        <f>H7*L7*(I7+(1-I7)*data!$L$11)*K7*((1-data!$L$11)^G6)</f>
        <v>56.984378830506806</v>
      </c>
      <c r="O7" s="47">
        <v>1</v>
      </c>
      <c r="P7" s="39">
        <f>EXP(-data!C4 * O7)</f>
        <v>1.0009308657051057</v>
      </c>
      <c r="Q7" s="39">
        <f>data!I64</f>
        <v>7.2961930086257176E-3</v>
      </c>
      <c r="R7" s="41">
        <f>E7-R6*data!$L$10</f>
        <v>916.35839939329173</v>
      </c>
      <c r="S7" s="34">
        <v>1</v>
      </c>
      <c r="T7" s="51">
        <f>P7*S7*(Q7+(1-Q7)*data!$L$11)*R7*((1-data!$L$11)^O6)</f>
        <v>52.218114175544194</v>
      </c>
    </row>
    <row r="8" spans="1:20">
      <c r="A8" s="47">
        <v>2</v>
      </c>
      <c r="B8" s="39">
        <f>$B$6/EXP(-(data!C5+data!$L$12)*A8)</f>
        <v>0.82000712920278007</v>
      </c>
      <c r="C8" s="39">
        <f>data!$L$4*B8</f>
        <v>820.00712920278011</v>
      </c>
      <c r="D8" s="41">
        <f>$B$3*EXP(data!C5*A8)</f>
        <v>121.91461494500001</v>
      </c>
      <c r="E8" s="34">
        <f t="shared" si="0"/>
        <v>941.92174414778015</v>
      </c>
      <c r="G8" s="47">
        <v>2</v>
      </c>
      <c r="H8" s="39">
        <f>EXP(-data!C5 * G8)</f>
        <v>1.0007003676715749</v>
      </c>
      <c r="I8" s="39">
        <f>data!I65</f>
        <v>8.0358017835560069E-3</v>
      </c>
      <c r="J8" s="41">
        <f>E8-E7*data!$L$10</f>
        <v>927.95136815688079</v>
      </c>
      <c r="K8" s="34">
        <f t="shared" si="1"/>
        <v>1000</v>
      </c>
      <c r="L8" s="51">
        <f>(1-I7)</f>
        <v>0.99270380699137428</v>
      </c>
      <c r="M8" s="39">
        <f>H8*L8*(I8+(1-I8)*data!$L$11)*K8*((1-data!$L$11)^G7)</f>
        <v>54.390894643500744</v>
      </c>
      <c r="O8" s="47">
        <v>2</v>
      </c>
      <c r="P8" s="39">
        <f>EXP(-data!C5 * O8)</f>
        <v>1.0007003676715749</v>
      </c>
      <c r="Q8" s="39">
        <f>data!I65</f>
        <v>8.0358017835560069E-3</v>
      </c>
      <c r="R8" s="41">
        <f>E8-E7*data!$L$10</f>
        <v>927.95136815688079</v>
      </c>
      <c r="S8" s="34">
        <f>(1-Q7)</f>
        <v>0.99270380699137428</v>
      </c>
      <c r="T8" s="51">
        <f>P8*S8*(Q8+(1-Q8)*data!$L$11)*R8*((1-data!$L$11)^O7)</f>
        <v>50.472105099713275</v>
      </c>
    </row>
    <row r="9" spans="1:20">
      <c r="A9" s="47">
        <v>3</v>
      </c>
      <c r="B9" s="39">
        <f>$B$6/EXP(-(data!C6+data!$L$12)*A9)</f>
        <v>0.83264158245890318</v>
      </c>
      <c r="C9" s="39">
        <f>data!$L$4*B9</f>
        <v>832.64158245890314</v>
      </c>
      <c r="D9" s="41">
        <f>$B$3*EXP(data!C6*A9)</f>
        <v>122.2307252959057</v>
      </c>
      <c r="E9" s="34">
        <f t="shared" si="0"/>
        <v>954.87230775480884</v>
      </c>
      <c r="G9" s="47">
        <v>3</v>
      </c>
      <c r="H9" s="39">
        <f>EXP(-data!C6 * G9)</f>
        <v>0.99811237890189108</v>
      </c>
      <c r="I9" s="39">
        <f>data!I66</f>
        <v>8.7924391609313091E-3</v>
      </c>
      <c r="J9" s="41">
        <f>E9-E8*data!$L$10</f>
        <v>940.74348159259216</v>
      </c>
      <c r="K9" s="34">
        <f t="shared" si="1"/>
        <v>1000</v>
      </c>
      <c r="L9" s="51">
        <f t="shared" ref="L9:L16" si="2">L8*(1-I8)</f>
        <v>0.98472663596861021</v>
      </c>
      <c r="M9" s="39">
        <f>H9*L9*(I9+(1-I9)*data!$L$11)*K9*((1-data!$L$11)^G8)</f>
        <v>51.761179703977959</v>
      </c>
      <c r="O9" s="47">
        <v>3</v>
      </c>
      <c r="P9" s="39">
        <f>EXP(-data!C6 * O9)</f>
        <v>0.99811237890189108</v>
      </c>
      <c r="Q9" s="39">
        <f>data!I66</f>
        <v>8.7924391609313091E-3</v>
      </c>
      <c r="R9" s="41">
        <f>E9-E8*data!$L$10</f>
        <v>940.74348159259216</v>
      </c>
      <c r="S9" s="34">
        <f>S8*(1-Q8)</f>
        <v>0.98472663596861021</v>
      </c>
      <c r="T9" s="51">
        <f>P9*S9*(Q9+(1-Q9)*data!$L$11)*R9*((1-data!$L$11)^O8)</f>
        <v>48.69399240606004</v>
      </c>
    </row>
    <row r="10" spans="1:20">
      <c r="A10" s="47">
        <v>4</v>
      </c>
      <c r="B10" s="39">
        <f>$B$6/EXP(-(data!C7+data!$L$12)*A10)</f>
        <v>0.84824292985419936</v>
      </c>
      <c r="C10" s="39">
        <f>data!$L$4*B10</f>
        <v>848.24292985419936</v>
      </c>
      <c r="D10" s="41">
        <f>$B$3*EXP(data!C7*A10)</f>
        <v>122.94947852000352</v>
      </c>
      <c r="E10" s="34">
        <f t="shared" si="0"/>
        <v>971.19240837420284</v>
      </c>
      <c r="G10" s="47">
        <v>4</v>
      </c>
      <c r="H10" s="39">
        <f>EXP(-data!C7 * G10)</f>
        <v>0.99227749046654934</v>
      </c>
      <c r="I10" s="39">
        <f>data!I67</f>
        <v>9.6788482834994083E-3</v>
      </c>
      <c r="J10" s="41">
        <f>E10-E9*data!$L$10</f>
        <v>956.86932375788069</v>
      </c>
      <c r="K10" s="34">
        <f t="shared" si="1"/>
        <v>1000</v>
      </c>
      <c r="L10" s="51">
        <f t="shared" si="2"/>
        <v>0.97606848693170767</v>
      </c>
      <c r="M10" s="39">
        <f>H10*L10*(I10+(1-I10)*data!$L$11)*K10*((1-data!$L$11)^G9)</f>
        <v>49.155099695580383</v>
      </c>
      <c r="O10" s="47">
        <v>4</v>
      </c>
      <c r="P10" s="39">
        <f>EXP(-data!C7 * O10)</f>
        <v>0.99227749046654934</v>
      </c>
      <c r="Q10" s="39">
        <f>data!I67</f>
        <v>9.6788482834994083E-3</v>
      </c>
      <c r="R10" s="41">
        <f>E10-E9*data!$L$10</f>
        <v>956.86932375788069</v>
      </c>
      <c r="S10" s="34">
        <f t="shared" ref="S10:S16" si="3">S9*(1-Q9)</f>
        <v>0.97606848693170767</v>
      </c>
      <c r="T10" s="51">
        <f>P10*S10*(Q10+(1-Q10)*data!$L$11)*R10*((1-data!$L$11)^O9)</f>
        <v>47.035007004961209</v>
      </c>
    </row>
    <row r="11" spans="1:20">
      <c r="A11" s="47">
        <v>5</v>
      </c>
      <c r="B11" s="39">
        <f>$B$6/EXP(-(data!C8+data!$L$12)*A11)</f>
        <v>0.86699796990485067</v>
      </c>
      <c r="C11" s="39">
        <f>data!$L$4*B11</f>
        <v>866.99796990485072</v>
      </c>
      <c r="D11" s="41">
        <f>$B$3*EXP(data!C8*A11)</f>
        <v>124.08196797164349</v>
      </c>
      <c r="E11" s="34">
        <f t="shared" si="0"/>
        <v>991.07993787649423</v>
      </c>
      <c r="G11" s="47">
        <v>5</v>
      </c>
      <c r="H11" s="39">
        <f>EXP(-data!C8 * G11)</f>
        <v>0.98322102715102566</v>
      </c>
      <c r="I11" s="39">
        <f>data!I68</f>
        <v>1.0679220808265999E-2</v>
      </c>
      <c r="J11" s="41">
        <f>E11-E10*data!$L$10</f>
        <v>976.51205175088114</v>
      </c>
      <c r="K11" s="34">
        <f t="shared" si="1"/>
        <v>1000</v>
      </c>
      <c r="L11" s="51">
        <f t="shared" si="2"/>
        <v>0.9666212681323908</v>
      </c>
      <c r="M11" s="39">
        <f>H11*L11*(I11+(1-I11)*data!$L$11)*K11*((1-data!$L$11)^G10)</f>
        <v>46.558966388536533</v>
      </c>
      <c r="O11" s="47">
        <v>5</v>
      </c>
      <c r="P11" s="39">
        <f>EXP(-data!C8 * O11)</f>
        <v>0.98322102715102566</v>
      </c>
      <c r="Q11" s="39">
        <f>data!I68</f>
        <v>1.0679220808265999E-2</v>
      </c>
      <c r="R11" s="41">
        <f>E11-E10*data!$L$10</f>
        <v>976.51205175088114</v>
      </c>
      <c r="S11" s="34">
        <f t="shared" si="3"/>
        <v>0.9666212681323908</v>
      </c>
      <c r="T11" s="51">
        <f>P11*S11*(Q11+(1-Q11)*data!$L$11)*R11*((1-data!$L$11)^O10)</f>
        <v>45.465391795470126</v>
      </c>
    </row>
    <row r="12" spans="1:20">
      <c r="A12" s="47">
        <v>6</v>
      </c>
      <c r="B12" s="39">
        <f>$B$6/EXP(-(data!C9+data!$L$12)*A12)</f>
        <v>0.88840497131460527</v>
      </c>
      <c r="C12" s="39">
        <f>data!$L$4*B12</f>
        <v>888.40497131460529</v>
      </c>
      <c r="D12" s="41">
        <f>$B$3*EXP(data!C9*A12)</f>
        <v>125.54104001463735</v>
      </c>
      <c r="E12" s="34">
        <f t="shared" si="0"/>
        <v>1013.9460113292427</v>
      </c>
      <c r="G12" s="47">
        <v>6</v>
      </c>
      <c r="H12" s="39">
        <f>EXP(-data!C9 * G12)</f>
        <v>0.9717937654951363</v>
      </c>
      <c r="I12" s="39">
        <f>data!I69</f>
        <v>1.1913508381277471E-2</v>
      </c>
      <c r="J12" s="41">
        <f>E12-E11*data!$L$10</f>
        <v>999.07981226109519</v>
      </c>
      <c r="K12" s="34">
        <f t="shared" si="1"/>
        <v>1000</v>
      </c>
      <c r="L12" s="51">
        <f t="shared" si="2"/>
        <v>0.95629850617203893</v>
      </c>
      <c r="M12" s="39">
        <f>H12*L12*(I12+(1-I12)*data!$L$11)*K12*((1-data!$L$11)^G11)</f>
        <v>44.093280421616186</v>
      </c>
      <c r="O12" s="47">
        <v>6</v>
      </c>
      <c r="P12" s="39">
        <f>EXP(-data!C9 * O12)</f>
        <v>0.9717937654951363</v>
      </c>
      <c r="Q12" s="39">
        <f>data!I69</f>
        <v>1.1913508381277471E-2</v>
      </c>
      <c r="R12" s="41">
        <f>E12-E11*data!$L$10</f>
        <v>999.07981226109519</v>
      </c>
      <c r="S12" s="34">
        <f t="shared" si="3"/>
        <v>0.95629850617203893</v>
      </c>
      <c r="T12" s="51">
        <f>P12*S12*(Q12+(1-Q12)*data!$L$11)*R12*((1-data!$L$11)^O11)</f>
        <v>44.052706325604127</v>
      </c>
    </row>
    <row r="13" spans="1:20">
      <c r="A13" s="47">
        <v>7</v>
      </c>
      <c r="B13" s="39">
        <f>$B$6/EXP(-(data!C10+data!$L$12)*A13)</f>
        <v>0.91253475461614164</v>
      </c>
      <c r="C13" s="39">
        <f>data!$L$4*B13</f>
        <v>912.53475461614164</v>
      </c>
      <c r="D13" s="41">
        <f>$B$3*EXP(data!C10*A13)</f>
        <v>127.32342295829598</v>
      </c>
      <c r="E13" s="34">
        <f t="shared" si="0"/>
        <v>1039.8581775744376</v>
      </c>
      <c r="G13" s="47">
        <v>7</v>
      </c>
      <c r="H13" s="39">
        <f>EXP(-data!C10 * G13)</f>
        <v>0.95818975931836481</v>
      </c>
      <c r="I13" s="39">
        <f>data!I70</f>
        <v>1.3052381115801315E-2</v>
      </c>
      <c r="J13" s="41">
        <f>E13-E12*data!$L$10</f>
        <v>1024.6489874044989</v>
      </c>
      <c r="K13" s="34">
        <f t="shared" si="1"/>
        <v>1024.6489874044989</v>
      </c>
      <c r="L13" s="51">
        <f t="shared" si="2"/>
        <v>0.9449056359037552</v>
      </c>
      <c r="M13" s="39">
        <f>H13*L13*(I13+(1-I13)*data!$L$11)*K13*((1-data!$L$11)^G12)</f>
        <v>42.553927071510593</v>
      </c>
      <c r="O13" s="47">
        <v>7</v>
      </c>
      <c r="P13" s="39">
        <f>EXP(-data!C10 * O13)</f>
        <v>0.95818975931836481</v>
      </c>
      <c r="Q13" s="39">
        <f>data!I70</f>
        <v>1.3052381115801315E-2</v>
      </c>
      <c r="R13" s="41">
        <f>E13-E12*data!$L$10</f>
        <v>1024.6489874044989</v>
      </c>
      <c r="S13" s="34">
        <f t="shared" si="3"/>
        <v>0.9449056359037552</v>
      </c>
      <c r="T13" s="51">
        <f>P13*S13*(Q13+(1-Q13)*data!$L$11)*R13*((1-data!$L$11)^O12)</f>
        <v>42.553927071510593</v>
      </c>
    </row>
    <row r="14" spans="1:20">
      <c r="A14" s="47">
        <v>8</v>
      </c>
      <c r="B14" s="39">
        <f>$B$6/EXP(-(data!C11+data!$L$12)*A14)</f>
        <v>0.93928605101351625</v>
      </c>
      <c r="C14" s="39">
        <f>data!$L$4*B14</f>
        <v>939.28605101351627</v>
      </c>
      <c r="D14" s="41">
        <f>$B$3*EXP(data!C11*A14)</f>
        <v>129.40197783704886</v>
      </c>
      <c r="E14" s="34">
        <f t="shared" si="0"/>
        <v>1068.6880288505652</v>
      </c>
      <c r="G14" s="47">
        <v>8</v>
      </c>
      <c r="H14" s="39">
        <f>EXP(-data!C11 * G14)</f>
        <v>0.94279857262792455</v>
      </c>
      <c r="I14" s="39">
        <f>data!I71</f>
        <v>1.4569521071908786E-2</v>
      </c>
      <c r="J14" s="41">
        <f>E14-E13*data!$L$10</f>
        <v>1053.0901561869487</v>
      </c>
      <c r="K14" s="34">
        <f t="shared" si="1"/>
        <v>1053.0901561869487</v>
      </c>
      <c r="L14" s="51">
        <f t="shared" si="2"/>
        <v>0.93257236742547078</v>
      </c>
      <c r="M14" s="39">
        <f>H14*L14*(I14+(1-I14)*data!$L$11)*K14*((1-data!$L$11)^G13)</f>
        <v>41.279291715752485</v>
      </c>
      <c r="O14" s="47">
        <v>8</v>
      </c>
      <c r="P14" s="39">
        <f>EXP(-data!C11 * O14)</f>
        <v>0.94279857262792455</v>
      </c>
      <c r="Q14" s="39">
        <f>data!I71</f>
        <v>1.4569521071908786E-2</v>
      </c>
      <c r="R14" s="41">
        <f>E14-E13*data!$L$10</f>
        <v>1053.0901561869487</v>
      </c>
      <c r="S14" s="34">
        <f t="shared" si="3"/>
        <v>0.93257236742547078</v>
      </c>
      <c r="T14" s="51">
        <f>P14*S14*(Q14+(1-Q14)*data!$L$11)*R14*((1-data!$L$11)^O13)</f>
        <v>41.279291715752485</v>
      </c>
    </row>
    <row r="15" spans="1:20">
      <c r="A15" s="47">
        <v>9</v>
      </c>
      <c r="B15" s="39">
        <f>$B$6/EXP(-(data!C12+data!$L$12)*A15)</f>
        <v>0.96887747509637423</v>
      </c>
      <c r="C15" s="39">
        <f>data!$L$4*B15</f>
        <v>968.87747509637427</v>
      </c>
      <c r="D15" s="41">
        <f>$B$3*EXP(data!C12*A15)</f>
        <v>131.79412483817771</v>
      </c>
      <c r="E15" s="34">
        <f t="shared" si="0"/>
        <v>1100.671599934552</v>
      </c>
      <c r="G15" s="47">
        <v>9</v>
      </c>
      <c r="H15" s="39">
        <f>EXP(-data!C12 * G15)</f>
        <v>0.92568618024359339</v>
      </c>
      <c r="I15" s="39">
        <f>data!I72</f>
        <v>1.5431844646490833E-2</v>
      </c>
      <c r="J15" s="41">
        <f>E15-E14*data!$L$10</f>
        <v>1084.6412795017934</v>
      </c>
      <c r="K15" s="34">
        <f t="shared" si="1"/>
        <v>1084.6412795017934</v>
      </c>
      <c r="L15" s="51">
        <f t="shared" si="2"/>
        <v>0.91898523466718551</v>
      </c>
      <c r="M15" s="39">
        <f>H15*L15*(I15+(1-I15)*data!$L$11)*K15*((1-data!$L$11)^G14)</f>
        <v>39.580810273846822</v>
      </c>
      <c r="O15" s="47">
        <v>9</v>
      </c>
      <c r="P15" s="39">
        <f>EXP(-data!C12 * O15)</f>
        <v>0.92568618024359339</v>
      </c>
      <c r="Q15" s="39">
        <f>data!I72</f>
        <v>1.5431844646490833E-2</v>
      </c>
      <c r="R15" s="41">
        <f>E15-E14*data!$L$10</f>
        <v>1084.6412795017934</v>
      </c>
      <c r="S15" s="34">
        <f t="shared" si="3"/>
        <v>0.91898523466718551</v>
      </c>
      <c r="T15" s="51">
        <f>P15*S15*(Q15+(1-Q15)*data!$L$11)*R15*((1-data!$L$11)^O14)</f>
        <v>39.580810273846822</v>
      </c>
    </row>
    <row r="16" spans="1:20">
      <c r="A16" s="48">
        <v>10</v>
      </c>
      <c r="B16" s="40">
        <f>$B$6/EXP(-(data!C13+data!$L$12)*A16)</f>
        <v>1</v>
      </c>
      <c r="C16" s="40">
        <f>data!$L$4*B16</f>
        <v>1000</v>
      </c>
      <c r="D16" s="42">
        <f>$B$3*EXP(data!C13*A16)</f>
        <v>134.31092526101386</v>
      </c>
      <c r="E16" s="37">
        <f t="shared" si="0"/>
        <v>1134.3109252610138</v>
      </c>
      <c r="F16" s="29"/>
      <c r="G16" s="48">
        <v>10</v>
      </c>
      <c r="H16" s="40">
        <f>EXP(-data!C13 * G16)</f>
        <v>0.90834010534072829</v>
      </c>
      <c r="I16" s="40">
        <v>1</v>
      </c>
      <c r="J16" s="42">
        <f>E16-E15*data!$L$10</f>
        <v>1117.8008512619956</v>
      </c>
      <c r="K16" s="37">
        <f t="shared" si="1"/>
        <v>1117.8008512619956</v>
      </c>
      <c r="L16" s="52">
        <f t="shared" si="2"/>
        <v>0.90480359729338256</v>
      </c>
      <c r="M16" s="40">
        <f>H16*L16*(I16+(1-I16)*data!$L$11)*K16*((1-data!$L$11)^G15)</f>
        <v>579.00150410859453</v>
      </c>
      <c r="O16" s="48">
        <v>10</v>
      </c>
      <c r="P16" s="40">
        <f>EXP(-data!C13 * O16)</f>
        <v>0.90834010534072829</v>
      </c>
      <c r="Q16" s="40">
        <v>1</v>
      </c>
      <c r="R16" s="42">
        <f>E16-E15*data!$L$10</f>
        <v>1117.8008512619956</v>
      </c>
      <c r="S16" s="37">
        <f t="shared" si="3"/>
        <v>0.90480359729338256</v>
      </c>
      <c r="T16" s="52">
        <f>P16*S16*(Q16+(1-Q16)*data!$L$11)*R16*((1-data!$L$11)^O15)</f>
        <v>579.00150410859453</v>
      </c>
    </row>
    <row r="20" spans="1:18">
      <c r="A20" s="53" t="s">
        <v>22</v>
      </c>
      <c r="B20" s="44">
        <f>E6</f>
        <v>921.99999999999989</v>
      </c>
      <c r="G20" s="53" t="s">
        <v>28</v>
      </c>
      <c r="H20" s="44">
        <f>SUM(M7:M16)</f>
        <v>1005.3593328534231</v>
      </c>
      <c r="O20" s="53" t="s">
        <v>28</v>
      </c>
      <c r="P20" s="44">
        <f>SUM(T7:T16)</f>
        <v>990.35284997705742</v>
      </c>
      <c r="Q20" s="55"/>
      <c r="R20" s="55"/>
    </row>
    <row r="21" spans="1:18">
      <c r="G21" s="54" t="s">
        <v>29</v>
      </c>
      <c r="H21" s="37">
        <f>SUMPRODUCT(G7:G16,M7:M16)/H20</f>
        <v>7.7478554410524989</v>
      </c>
      <c r="O21" s="54" t="s">
        <v>29</v>
      </c>
      <c r="P21" s="37">
        <f>SUMPRODUCT(O7:O16,T7:T16)/P20</f>
        <v>7.8289083365597891</v>
      </c>
    </row>
    <row r="22" spans="1:18">
      <c r="G22" s="33"/>
      <c r="H22" s="33"/>
    </row>
    <row r="23" spans="1:18">
      <c r="G23" s="53" t="s">
        <v>39</v>
      </c>
      <c r="H23" s="44">
        <f>B20-H20</f>
        <v>-83.359332853423211</v>
      </c>
      <c r="O23" s="53" t="s">
        <v>39</v>
      </c>
      <c r="P23" s="44">
        <f>B20-P20</f>
        <v>-68.352849977057531</v>
      </c>
    </row>
    <row r="24" spans="1:18">
      <c r="G24" s="54" t="s">
        <v>38</v>
      </c>
      <c r="H24" s="37">
        <f>'Basic Case'!H21-Equity!H23</f>
        <v>15.767792639794038</v>
      </c>
      <c r="O24" s="54" t="s">
        <v>38</v>
      </c>
      <c r="P24" s="37">
        <f>'Basic Case'!P21-Equity!P23</f>
        <v>1.0869265164518538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E547-CAE0-440F-8E4E-D1294A128F3F}">
  <dimension ref="A1:T24"/>
  <sheetViews>
    <sheetView topLeftCell="A5" workbookViewId="0">
      <selection activeCell="P23" sqref="P23"/>
    </sheetView>
  </sheetViews>
  <sheetFormatPr defaultColWidth="8.85546875" defaultRowHeight="15"/>
  <cols>
    <col min="1" max="1" width="15.28515625" bestFit="1" customWidth="1"/>
  </cols>
  <sheetData>
    <row r="1" spans="1:20" ht="21">
      <c r="A1" s="50" t="s">
        <v>60</v>
      </c>
      <c r="G1" s="50" t="s">
        <v>55</v>
      </c>
      <c r="H1" s="49"/>
      <c r="O1" s="50" t="s">
        <v>56</v>
      </c>
    </row>
    <row r="3" spans="1:20">
      <c r="A3" s="45" t="s">
        <v>33</v>
      </c>
      <c r="B3" s="44">
        <f>data!L5*(1-(0.045+0.005*(10-5)))</f>
        <v>744</v>
      </c>
      <c r="D3" s="45" t="s">
        <v>34</v>
      </c>
      <c r="E3" s="44">
        <f>(1/10)*LN(data!L4/B3) - data!C13</f>
        <v>1.9957783898933656E-2</v>
      </c>
    </row>
    <row r="5" spans="1:20">
      <c r="A5" s="43" t="s">
        <v>13</v>
      </c>
      <c r="B5" s="45" t="s">
        <v>30</v>
      </c>
      <c r="C5" s="45" t="s">
        <v>14</v>
      </c>
      <c r="D5" s="45" t="s">
        <v>15</v>
      </c>
      <c r="E5" s="46" t="s">
        <v>21</v>
      </c>
      <c r="G5" s="43" t="s">
        <v>13</v>
      </c>
      <c r="H5" s="45" t="s">
        <v>23</v>
      </c>
      <c r="I5" s="45" t="s">
        <v>24</v>
      </c>
      <c r="J5" s="45" t="s">
        <v>32</v>
      </c>
      <c r="K5" s="46" t="s">
        <v>25</v>
      </c>
      <c r="L5" s="45" t="s">
        <v>26</v>
      </c>
      <c r="M5" s="45" t="s">
        <v>27</v>
      </c>
      <c r="O5" s="43" t="s">
        <v>13</v>
      </c>
      <c r="P5" s="45" t="s">
        <v>23</v>
      </c>
      <c r="Q5" s="45" t="s">
        <v>24</v>
      </c>
      <c r="R5" s="45" t="s">
        <v>25</v>
      </c>
      <c r="S5" s="46" t="s">
        <v>26</v>
      </c>
      <c r="T5" s="45" t="s">
        <v>27</v>
      </c>
    </row>
    <row r="6" spans="1:20">
      <c r="A6" s="47">
        <v>0</v>
      </c>
      <c r="B6" s="39">
        <f>EXP(-(data!C13 +$E$3)*A16)</f>
        <v>0.74399999999999999</v>
      </c>
      <c r="C6" s="39">
        <f>data!$L$4*B6</f>
        <v>744</v>
      </c>
      <c r="D6" s="39">
        <f>data!L6</f>
        <v>200</v>
      </c>
      <c r="E6" s="34">
        <f>C6+D6</f>
        <v>944</v>
      </c>
      <c r="G6" s="47">
        <v>0</v>
      </c>
      <c r="H6" s="39">
        <v>1</v>
      </c>
      <c r="I6" s="39"/>
      <c r="J6" s="39"/>
      <c r="K6" s="34">
        <v>1000</v>
      </c>
      <c r="L6" s="51"/>
      <c r="M6" s="39"/>
      <c r="O6" s="47">
        <v>0</v>
      </c>
      <c r="P6" s="39">
        <v>1</v>
      </c>
      <c r="Q6" s="39"/>
      <c r="R6" s="39">
        <v>1000</v>
      </c>
      <c r="S6" s="34"/>
      <c r="T6" s="51"/>
    </row>
    <row r="7" spans="1:20">
      <c r="A7" s="47">
        <v>1</v>
      </c>
      <c r="B7" s="39">
        <f>$B$6/EXP(-(data!C4+$E$3)*A7)</f>
        <v>0.75829188646607504</v>
      </c>
      <c r="C7" s="39">
        <f>data!$L$4*B7</f>
        <v>758.29188646607508</v>
      </c>
      <c r="D7" s="41">
        <f>$D$6*EXP(data!C4*A7)</f>
        <v>199.81399999999999</v>
      </c>
      <c r="E7" s="34">
        <f t="shared" ref="E7:E16" si="0">C7+D7</f>
        <v>958.10588646607505</v>
      </c>
      <c r="G7" s="47">
        <v>1</v>
      </c>
      <c r="H7" s="39">
        <f>EXP(-data!C4 * G7)</f>
        <v>1.0009308657051057</v>
      </c>
      <c r="I7" s="39">
        <f>data!I64</f>
        <v>7.2961930086257176E-3</v>
      </c>
      <c r="J7" s="41">
        <f>E7-K6*data!$L$10</f>
        <v>943.10588646607505</v>
      </c>
      <c r="K7" s="34">
        <f t="shared" ref="K7:K16" si="1" xml:space="preserve"> MAX($K$6,J7)</f>
        <v>1000</v>
      </c>
      <c r="L7" s="51">
        <v>1</v>
      </c>
      <c r="M7" s="39">
        <f>H7*L7*(I7+(1-I7)*data!$L$11)*K7*((1-data!$L$11)^G6)</f>
        <v>56.984378830506806</v>
      </c>
      <c r="O7" s="47">
        <v>1</v>
      </c>
      <c r="P7" s="39">
        <f>EXP(-data!C4 * O7)</f>
        <v>1.0009308657051057</v>
      </c>
      <c r="Q7" s="39">
        <f>data!I64</f>
        <v>7.2961930086257176E-3</v>
      </c>
      <c r="R7" s="41">
        <f>E7-R6*data!$L$10</f>
        <v>943.10588646607505</v>
      </c>
      <c r="S7" s="34">
        <v>1</v>
      </c>
      <c r="T7" s="51">
        <f>P7*S7*(Q7+(1-Q7)*data!$L$11)*R7*((1-data!$L$11)^O6)</f>
        <v>53.742303111663759</v>
      </c>
    </row>
    <row r="8" spans="1:20">
      <c r="A8" s="47">
        <v>2</v>
      </c>
      <c r="B8" s="39">
        <f>$B$6/EXP(-(data!C5+$E$3)*A8)</f>
        <v>0.77375592393280868</v>
      </c>
      <c r="C8" s="39">
        <f>data!$L$4*B8</f>
        <v>773.75592393280863</v>
      </c>
      <c r="D8" s="41">
        <f>$D$6*EXP(data!C5*A8)</f>
        <v>199.86002450000001</v>
      </c>
      <c r="E8" s="34">
        <f t="shared" si="0"/>
        <v>973.61594843280864</v>
      </c>
      <c r="G8" s="47">
        <v>2</v>
      </c>
      <c r="H8" s="39">
        <f>EXP(-data!C5 * G8)</f>
        <v>1.0007003676715749</v>
      </c>
      <c r="I8" s="39">
        <f>data!I65</f>
        <v>8.0358017835560069E-3</v>
      </c>
      <c r="J8" s="41">
        <f>E8-E7*data!$L$10</f>
        <v>959.24436013581749</v>
      </c>
      <c r="K8" s="34">
        <f t="shared" si="1"/>
        <v>1000</v>
      </c>
      <c r="L8" s="51">
        <f>(1-I7)</f>
        <v>0.99270380699137428</v>
      </c>
      <c r="M8" s="39">
        <f>H8*L8*(I8+(1-I8)*data!$L$11)*K8*((1-data!$L$11)^G7)</f>
        <v>54.390894643500744</v>
      </c>
      <c r="O8" s="47">
        <v>2</v>
      </c>
      <c r="P8" s="39">
        <f>EXP(-data!C5 * O8)</f>
        <v>1.0007003676715749</v>
      </c>
      <c r="Q8" s="39">
        <f>data!I65</f>
        <v>8.0358017835560069E-3</v>
      </c>
      <c r="R8" s="41">
        <f>E8-E7*data!$L$10</f>
        <v>959.24436013581749</v>
      </c>
      <c r="S8" s="34">
        <f>(1-Q7)</f>
        <v>0.99270380699137428</v>
      </c>
      <c r="T8" s="51">
        <f>P8*S8*(Q8+(1-Q8)*data!$L$11)*R8*((1-data!$L$11)^O7)</f>
        <v>52.174158929519535</v>
      </c>
    </row>
    <row r="9" spans="1:20">
      <c r="A9" s="47">
        <v>3</v>
      </c>
      <c r="B9" s="39">
        <f>$B$6/EXP(-(data!C6+$E$3)*A9)</f>
        <v>0.79140020772551023</v>
      </c>
      <c r="C9" s="39">
        <f>data!$L$4*B9</f>
        <v>791.4002077255102</v>
      </c>
      <c r="D9" s="41">
        <f>$D$6*EXP(data!C6*A9)</f>
        <v>200.37823819000934</v>
      </c>
      <c r="E9" s="34">
        <f t="shared" si="0"/>
        <v>991.77844591551957</v>
      </c>
      <c r="G9" s="47">
        <v>3</v>
      </c>
      <c r="H9" s="39">
        <f>EXP(-data!C6 * G9)</f>
        <v>0.99811237890189108</v>
      </c>
      <c r="I9" s="39">
        <f>data!I66</f>
        <v>8.7924391609313091E-3</v>
      </c>
      <c r="J9" s="41">
        <f>E9-E8*data!$L$10</f>
        <v>977.17420668902741</v>
      </c>
      <c r="K9" s="34">
        <f t="shared" si="1"/>
        <v>1000</v>
      </c>
      <c r="L9" s="51">
        <f t="shared" ref="L9:L16" si="2">L8*(1-I8)</f>
        <v>0.98472663596861021</v>
      </c>
      <c r="M9" s="39">
        <f>H9*L9*(I9+(1-I9)*data!$L$11)*K9*((1-data!$L$11)^G8)</f>
        <v>51.761179703977959</v>
      </c>
      <c r="O9" s="47">
        <v>3</v>
      </c>
      <c r="P9" s="39">
        <f>EXP(-data!C6 * O9)</f>
        <v>0.99811237890189108</v>
      </c>
      <c r="Q9" s="39">
        <f>data!I66</f>
        <v>8.7924391609313091E-3</v>
      </c>
      <c r="R9" s="41">
        <f>E9-E8*data!$L$10</f>
        <v>977.17420668902741</v>
      </c>
      <c r="S9" s="34">
        <f>S8*(1-Q8)</f>
        <v>0.98472663596861021</v>
      </c>
      <c r="T9" s="51">
        <f>P9*S9*(Q9+(1-Q9)*data!$L$11)*R9*((1-data!$L$11)^O8)</f>
        <v>50.579689714522843</v>
      </c>
    </row>
    <row r="10" spans="1:20">
      <c r="A10" s="47">
        <v>4</v>
      </c>
      <c r="B10" s="39">
        <f>$B$6/EXP(-(data!C7+$E$3)*A10)</f>
        <v>0.81210094825845569</v>
      </c>
      <c r="C10" s="39">
        <f>data!$L$4*B10</f>
        <v>812.10094825845567</v>
      </c>
      <c r="D10" s="41">
        <f>$D$6*EXP(data!C7*A10)</f>
        <v>201.5565221639402</v>
      </c>
      <c r="E10" s="34">
        <f t="shared" si="0"/>
        <v>1013.6574704223958</v>
      </c>
      <c r="G10" s="47">
        <v>4</v>
      </c>
      <c r="H10" s="39">
        <f>EXP(-data!C7 * G10)</f>
        <v>0.99227749046654934</v>
      </c>
      <c r="I10" s="39">
        <f>data!I67</f>
        <v>9.6788482834994083E-3</v>
      </c>
      <c r="J10" s="41">
        <f>E10-E9*data!$L$10</f>
        <v>998.78079373366302</v>
      </c>
      <c r="K10" s="34">
        <f t="shared" si="1"/>
        <v>1000</v>
      </c>
      <c r="L10" s="51">
        <f t="shared" si="2"/>
        <v>0.97606848693170767</v>
      </c>
      <c r="M10" s="39">
        <f>H10*L10*(I10+(1-I10)*data!$L$11)*K10*((1-data!$L$11)^G9)</f>
        <v>49.155099695580383</v>
      </c>
      <c r="O10" s="47">
        <v>4</v>
      </c>
      <c r="P10" s="39">
        <f>EXP(-data!C7 * O10)</f>
        <v>0.99227749046654934</v>
      </c>
      <c r="Q10" s="39">
        <f>data!I67</f>
        <v>9.6788482834994083E-3</v>
      </c>
      <c r="R10" s="41">
        <f>E10-E9*data!$L$10</f>
        <v>998.78079373366302</v>
      </c>
      <c r="S10" s="34">
        <f t="shared" ref="S10:S16" si="3">S9*(1-Q9)</f>
        <v>0.97606848693170767</v>
      </c>
      <c r="T10" s="51">
        <f>P10*S10*(Q10+(1-Q10)*data!$L$11)*R10*((1-data!$L$11)^O9)</f>
        <v>49.09516949000912</v>
      </c>
    </row>
    <row r="11" spans="1:20">
      <c r="A11" s="47">
        <v>5</v>
      </c>
      <c r="B11" s="39">
        <f>$B$6/EXP(-(data!C8+$E$3)*A11)</f>
        <v>0.83610256322522591</v>
      </c>
      <c r="C11" s="39">
        <f>data!$L$4*B11</f>
        <v>836.10256322522594</v>
      </c>
      <c r="D11" s="41">
        <f>$D$6*EXP(data!C8*A11)</f>
        <v>203.41306224859591</v>
      </c>
      <c r="E11" s="34">
        <f t="shared" si="0"/>
        <v>1039.5156254738217</v>
      </c>
      <c r="G11" s="47">
        <v>5</v>
      </c>
      <c r="H11" s="39">
        <f>EXP(-data!C8 * G11)</f>
        <v>0.98322102715102566</v>
      </c>
      <c r="I11" s="39">
        <f>data!I68</f>
        <v>1.0679220808265999E-2</v>
      </c>
      <c r="J11" s="41">
        <f>E11-E10*data!$L$10</f>
        <v>1024.3107634174858</v>
      </c>
      <c r="K11" s="34">
        <f t="shared" si="1"/>
        <v>1024.3107634174858</v>
      </c>
      <c r="L11" s="51">
        <f t="shared" si="2"/>
        <v>0.9666212681323908</v>
      </c>
      <c r="M11" s="39">
        <f>H11*L11*(I11+(1-I11)*data!$L$11)*K11*((1-data!$L$11)^G10)</f>
        <v>47.690850405370917</v>
      </c>
      <c r="O11" s="47">
        <v>5</v>
      </c>
      <c r="P11" s="39">
        <f>EXP(-data!C8 * O11)</f>
        <v>0.98322102715102566</v>
      </c>
      <c r="Q11" s="39">
        <f>data!I68</f>
        <v>1.0679220808265999E-2</v>
      </c>
      <c r="R11" s="41">
        <f>E11-E10*data!$L$10</f>
        <v>1024.3107634174858</v>
      </c>
      <c r="S11" s="34">
        <f t="shared" si="3"/>
        <v>0.9666212681323908</v>
      </c>
      <c r="T11" s="51">
        <f>P11*S11*(Q11+(1-Q11)*data!$L$11)*R11*((1-data!$L$11)^O10)</f>
        <v>47.690850405370917</v>
      </c>
    </row>
    <row r="12" spans="1:20">
      <c r="A12" s="47">
        <v>6</v>
      </c>
      <c r="B12" s="39">
        <f>$B$6/EXP(-(data!C9+$E$3)*A12)</f>
        <v>0.86298681311026781</v>
      </c>
      <c r="C12" s="39">
        <f>data!$L$4*B12</f>
        <v>862.9868131102678</v>
      </c>
      <c r="D12" s="41">
        <f>$D$6*EXP(data!C9*A12)</f>
        <v>205.80498363055301</v>
      </c>
      <c r="E12" s="34">
        <f t="shared" si="0"/>
        <v>1068.7917967408207</v>
      </c>
      <c r="G12" s="47">
        <v>6</v>
      </c>
      <c r="H12" s="39">
        <f>EXP(-data!C9 * G12)</f>
        <v>0.9717937654951363</v>
      </c>
      <c r="I12" s="39">
        <f>data!I69</f>
        <v>1.1913508381277471E-2</v>
      </c>
      <c r="J12" s="41">
        <f>E12-E11*data!$L$10</f>
        <v>1053.1990623587133</v>
      </c>
      <c r="K12" s="34">
        <f t="shared" si="1"/>
        <v>1053.1990623587133</v>
      </c>
      <c r="L12" s="51">
        <f t="shared" si="2"/>
        <v>0.95629850617203893</v>
      </c>
      <c r="M12" s="39">
        <f>H12*L12*(I12+(1-I12)*data!$L$11)*K12*((1-data!$L$11)^G11)</f>
        <v>46.439001596365976</v>
      </c>
      <c r="O12" s="47">
        <v>6</v>
      </c>
      <c r="P12" s="39">
        <f>EXP(-data!C9 * O12)</f>
        <v>0.9717937654951363</v>
      </c>
      <c r="Q12" s="39">
        <f>data!I69</f>
        <v>1.1913508381277471E-2</v>
      </c>
      <c r="R12" s="41">
        <f>E12-E11*data!$L$10</f>
        <v>1053.1990623587133</v>
      </c>
      <c r="S12" s="34">
        <f t="shared" si="3"/>
        <v>0.95629850617203893</v>
      </c>
      <c r="T12" s="51">
        <f>P12*S12*(Q12+(1-Q12)*data!$L$11)*R12*((1-data!$L$11)^O11)</f>
        <v>46.439001596365976</v>
      </c>
    </row>
    <row r="13" spans="1:20">
      <c r="A13" s="47">
        <v>7</v>
      </c>
      <c r="B13" s="39">
        <f>$B$6/EXP(-(data!C10+$E$3)*A13)</f>
        <v>0.89288247398104681</v>
      </c>
      <c r="C13" s="39">
        <f>data!$L$4*B13</f>
        <v>892.88247398104681</v>
      </c>
      <c r="D13" s="41">
        <f>$D$6*EXP(data!C10*A13)</f>
        <v>208.72692288245241</v>
      </c>
      <c r="E13" s="34">
        <f t="shared" si="0"/>
        <v>1101.6093968634991</v>
      </c>
      <c r="G13" s="47">
        <v>7</v>
      </c>
      <c r="H13" s="39">
        <f>EXP(-data!C10 * G13)</f>
        <v>0.95818975931836481</v>
      </c>
      <c r="I13" s="39">
        <f>data!I70</f>
        <v>1.3052381115801315E-2</v>
      </c>
      <c r="J13" s="41">
        <f>E13-E12*data!$L$10</f>
        <v>1085.5775199123868</v>
      </c>
      <c r="K13" s="34">
        <f t="shared" si="1"/>
        <v>1085.5775199123868</v>
      </c>
      <c r="L13" s="51">
        <f t="shared" si="2"/>
        <v>0.9449056359037552</v>
      </c>
      <c r="M13" s="39">
        <f>H13*L13*(I13+(1-I13)*data!$L$11)*K13*((1-data!$L$11)^G12)</f>
        <v>45.084304167263575</v>
      </c>
      <c r="O13" s="47">
        <v>7</v>
      </c>
      <c r="P13" s="39">
        <f>EXP(-data!C10 * O13)</f>
        <v>0.95818975931836481</v>
      </c>
      <c r="Q13" s="39">
        <f>data!I70</f>
        <v>1.3052381115801315E-2</v>
      </c>
      <c r="R13" s="41">
        <f>E13-E12*data!$L$10</f>
        <v>1085.5775199123868</v>
      </c>
      <c r="S13" s="34">
        <f t="shared" si="3"/>
        <v>0.9449056359037552</v>
      </c>
      <c r="T13" s="51">
        <f>P13*S13*(Q13+(1-Q13)*data!$L$11)*R13*((1-data!$L$11)^O12)</f>
        <v>45.084304167263575</v>
      </c>
    </row>
    <row r="14" spans="1:20">
      <c r="A14" s="47">
        <v>8</v>
      </c>
      <c r="B14" s="39">
        <f>$B$6/EXP(-(data!C11+$E$3)*A14)</f>
        <v>0.92575158129656576</v>
      </c>
      <c r="C14" s="39">
        <f>data!$L$4*B14</f>
        <v>925.75158129656575</v>
      </c>
      <c r="D14" s="41">
        <f>$D$6*EXP(data!C11*A14)</f>
        <v>212.13438989680142</v>
      </c>
      <c r="E14" s="34">
        <f t="shared" si="0"/>
        <v>1137.8859711933671</v>
      </c>
      <c r="G14" s="47">
        <v>8</v>
      </c>
      <c r="H14" s="39">
        <f>EXP(-data!C11 * G14)</f>
        <v>0.94279857262792455</v>
      </c>
      <c r="I14" s="39">
        <f>data!I71</f>
        <v>1.4569521071908786E-2</v>
      </c>
      <c r="J14" s="41">
        <f>E14-E13*data!$L$10</f>
        <v>1121.3618302404147</v>
      </c>
      <c r="K14" s="34">
        <f t="shared" si="1"/>
        <v>1121.3618302404147</v>
      </c>
      <c r="L14" s="51">
        <f t="shared" si="2"/>
        <v>0.93257236742547078</v>
      </c>
      <c r="M14" s="39">
        <f>H14*L14*(I14+(1-I14)*data!$L$11)*K14*((1-data!$L$11)^G13)</f>
        <v>43.955421895698358</v>
      </c>
      <c r="O14" s="47">
        <v>8</v>
      </c>
      <c r="P14" s="39">
        <f>EXP(-data!C11 * O14)</f>
        <v>0.94279857262792455</v>
      </c>
      <c r="Q14" s="39">
        <f>data!I71</f>
        <v>1.4569521071908786E-2</v>
      </c>
      <c r="R14" s="41">
        <f>E14-E13*data!$L$10</f>
        <v>1121.3618302404147</v>
      </c>
      <c r="S14" s="34">
        <f t="shared" si="3"/>
        <v>0.93257236742547078</v>
      </c>
      <c r="T14" s="51">
        <f>P14*S14*(Q14+(1-Q14)*data!$L$11)*R14*((1-data!$L$11)^O13)</f>
        <v>43.955421895698358</v>
      </c>
    </row>
    <row r="15" spans="1:20">
      <c r="A15" s="47">
        <v>9</v>
      </c>
      <c r="B15" s="39">
        <f>$B$6/EXP(-(data!C12+$E$3)*A15)</f>
        <v>0.9618717155202392</v>
      </c>
      <c r="C15" s="39">
        <f>data!$L$4*B15</f>
        <v>961.87171552023915</v>
      </c>
      <c r="D15" s="41">
        <f>$D$6*EXP(data!C12*A15)</f>
        <v>216.05594235766836</v>
      </c>
      <c r="E15" s="34">
        <f t="shared" si="0"/>
        <v>1177.9276578779074</v>
      </c>
      <c r="G15" s="47">
        <v>9</v>
      </c>
      <c r="H15" s="39">
        <f>EXP(-data!C12 * G15)</f>
        <v>0.92568618024359339</v>
      </c>
      <c r="I15" s="39">
        <f>data!I72</f>
        <v>1.5431844646490833E-2</v>
      </c>
      <c r="J15" s="41">
        <f>E15-E14*data!$L$10</f>
        <v>1160.8593683100069</v>
      </c>
      <c r="K15" s="34">
        <f t="shared" si="1"/>
        <v>1160.8593683100069</v>
      </c>
      <c r="L15" s="51">
        <f t="shared" si="2"/>
        <v>0.91898523466718551</v>
      </c>
      <c r="M15" s="39">
        <f>H15*L15*(I15+(1-I15)*data!$L$11)*K15*((1-data!$L$11)^G14)</f>
        <v>42.362166441610221</v>
      </c>
      <c r="O15" s="47">
        <v>9</v>
      </c>
      <c r="P15" s="39">
        <f>EXP(-data!C12 * O15)</f>
        <v>0.92568618024359339</v>
      </c>
      <c r="Q15" s="39">
        <f>data!I72</f>
        <v>1.5431844646490833E-2</v>
      </c>
      <c r="R15" s="41">
        <f>E15-E14*data!$L$10</f>
        <v>1160.8593683100069</v>
      </c>
      <c r="S15" s="34">
        <f t="shared" si="3"/>
        <v>0.91898523466718551</v>
      </c>
      <c r="T15" s="51">
        <f>P15*S15*(Q15+(1-Q15)*data!$L$11)*R15*((1-data!$L$11)^O14)</f>
        <v>42.362166441610221</v>
      </c>
    </row>
    <row r="16" spans="1:20">
      <c r="A16" s="48">
        <v>10</v>
      </c>
      <c r="B16" s="40">
        <f>$B$6/EXP(-(data!C13+$E$3)*A16)</f>
        <v>1</v>
      </c>
      <c r="C16" s="40">
        <f>data!$L$4*B16</f>
        <v>1000</v>
      </c>
      <c r="D16" s="42">
        <f>$D$6*EXP(data!C13*A16)</f>
        <v>220.18184469018664</v>
      </c>
      <c r="E16" s="37">
        <f t="shared" si="0"/>
        <v>1220.1818446901866</v>
      </c>
      <c r="F16" s="29"/>
      <c r="G16" s="48">
        <v>10</v>
      </c>
      <c r="H16" s="40">
        <f>EXP(-data!C13 * G16)</f>
        <v>0.90834010534072829</v>
      </c>
      <c r="I16" s="40">
        <v>1</v>
      </c>
      <c r="J16" s="42">
        <f>E16-E15*data!$L$10</f>
        <v>1202.5129298220179</v>
      </c>
      <c r="K16" s="37">
        <f t="shared" si="1"/>
        <v>1202.5129298220179</v>
      </c>
      <c r="L16" s="52">
        <f t="shared" si="2"/>
        <v>0.90480359729338256</v>
      </c>
      <c r="M16" s="40">
        <f>H16*L16*(I16+(1-I16)*data!$L$11)*K16*((1-data!$L$11)^G15)</f>
        <v>622.88089536781808</v>
      </c>
      <c r="O16" s="48">
        <v>10</v>
      </c>
      <c r="P16" s="40">
        <f>EXP(-data!C13 * O16)</f>
        <v>0.90834010534072829</v>
      </c>
      <c r="Q16" s="40">
        <v>1</v>
      </c>
      <c r="R16" s="42">
        <f>E16-E15*data!$L$10</f>
        <v>1202.5129298220179</v>
      </c>
      <c r="S16" s="37">
        <f t="shared" si="3"/>
        <v>0.90480359729338256</v>
      </c>
      <c r="T16" s="52">
        <f>P16*S16*(Q16+(1-Q16)*data!$L$11)*R16*((1-data!$L$11)^O15)</f>
        <v>622.88089536781808</v>
      </c>
    </row>
    <row r="20" spans="1:16">
      <c r="A20" s="53" t="s">
        <v>22</v>
      </c>
      <c r="B20" s="44">
        <f>E6</f>
        <v>944</v>
      </c>
      <c r="G20" s="53" t="s">
        <v>28</v>
      </c>
      <c r="H20" s="44">
        <f>SUM(M7:M16)</f>
        <v>1060.704192747693</v>
      </c>
      <c r="O20" s="53" t="s">
        <v>28</v>
      </c>
      <c r="P20" s="44">
        <f>SUM(T7:T16)</f>
        <v>1054.0039611198424</v>
      </c>
    </row>
    <row r="21" spans="1:16">
      <c r="G21" s="54" t="s">
        <v>29</v>
      </c>
      <c r="H21" s="37">
        <f>SUMPRODUCT(G7:G16,M7:M16)/H20</f>
        <v>7.836360391933594</v>
      </c>
      <c r="O21" s="54" t="s">
        <v>29</v>
      </c>
      <c r="P21" s="37">
        <f>SUMPRODUCT(O7:O16,T7:T16)/P20</f>
        <v>7.8753030271815732</v>
      </c>
    </row>
    <row r="22" spans="1:16">
      <c r="G22" s="33"/>
      <c r="H22" s="33"/>
    </row>
    <row r="23" spans="1:16">
      <c r="G23" s="53" t="s">
        <v>39</v>
      </c>
      <c r="H23" s="44">
        <f>B20-H20</f>
        <v>-116.70419274769301</v>
      </c>
      <c r="O23" s="53" t="s">
        <v>39</v>
      </c>
      <c r="P23" s="44">
        <f>B20-P20</f>
        <v>-110.00396111984242</v>
      </c>
    </row>
    <row r="24" spans="1:16">
      <c r="G24" s="54" t="s">
        <v>38</v>
      </c>
      <c r="H24" s="37">
        <f>'Basic Case'!H21-'Market spread'!H23</f>
        <v>49.112652534063841</v>
      </c>
      <c r="O24" s="54" t="s">
        <v>38</v>
      </c>
      <c r="P24" s="37">
        <f>'Basic Case'!P21-'Market spread'!P23</f>
        <v>42.738037659236738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FC3B-CE4B-4A62-B7A6-DBD660569690}">
  <dimension ref="A1:T22"/>
  <sheetViews>
    <sheetView topLeftCell="A2" workbookViewId="0">
      <selection activeCell="J6" sqref="J6"/>
    </sheetView>
  </sheetViews>
  <sheetFormatPr defaultColWidth="8.85546875" defaultRowHeight="15"/>
  <cols>
    <col min="1" max="1" width="14.140625" bestFit="1" customWidth="1"/>
  </cols>
  <sheetData>
    <row r="1" spans="1:20" ht="21">
      <c r="A1" s="50" t="s">
        <v>61</v>
      </c>
      <c r="G1" s="50" t="s">
        <v>55</v>
      </c>
      <c r="H1" s="49"/>
      <c r="O1" s="50" t="s">
        <v>56</v>
      </c>
    </row>
    <row r="3" spans="1:20">
      <c r="A3" s="43" t="s">
        <v>13</v>
      </c>
      <c r="B3" s="45" t="s">
        <v>30</v>
      </c>
      <c r="C3" s="45" t="s">
        <v>14</v>
      </c>
      <c r="D3" s="45" t="s">
        <v>15</v>
      </c>
      <c r="E3" s="46" t="s">
        <v>21</v>
      </c>
      <c r="G3" s="43" t="s">
        <v>13</v>
      </c>
      <c r="H3" s="45" t="s">
        <v>23</v>
      </c>
      <c r="I3" s="45" t="s">
        <v>24</v>
      </c>
      <c r="J3" s="45" t="s">
        <v>32</v>
      </c>
      <c r="K3" s="46" t="s">
        <v>25</v>
      </c>
      <c r="L3" s="45" t="s">
        <v>26</v>
      </c>
      <c r="M3" s="45" t="s">
        <v>27</v>
      </c>
      <c r="O3" s="43" t="s">
        <v>13</v>
      </c>
      <c r="P3" s="45" t="s">
        <v>23</v>
      </c>
      <c r="Q3" s="45" t="s">
        <v>24</v>
      </c>
      <c r="R3" s="45" t="s">
        <v>25</v>
      </c>
      <c r="S3" s="46" t="s">
        <v>26</v>
      </c>
      <c r="T3" s="45" t="s">
        <v>27</v>
      </c>
    </row>
    <row r="4" spans="1:20">
      <c r="A4" s="47">
        <v>0</v>
      </c>
      <c r="B4" s="39">
        <f>EXP(-(data!C13 +data!L12)*'Basic Case'!A14)</f>
        <v>0.79999999999999993</v>
      </c>
      <c r="C4" s="39">
        <f>data!$L$4*'Basic Case'!B4</f>
        <v>799.99999999999989</v>
      </c>
      <c r="D4" s="39">
        <f>data!L6</f>
        <v>200</v>
      </c>
      <c r="E4" s="34">
        <f>C4+D4</f>
        <v>999.99999999999989</v>
      </c>
      <c r="G4" s="47">
        <v>0</v>
      </c>
      <c r="H4" s="39">
        <v>1</v>
      </c>
      <c r="I4" s="39"/>
      <c r="J4" s="39"/>
      <c r="K4" s="34">
        <v>1000</v>
      </c>
      <c r="L4" s="51"/>
      <c r="M4" s="39"/>
      <c r="O4" s="47">
        <v>0</v>
      </c>
      <c r="P4" s="39">
        <v>1</v>
      </c>
      <c r="Q4" s="39"/>
      <c r="R4" s="39">
        <f>E4</f>
        <v>999.99999999999989</v>
      </c>
      <c r="S4" s="34"/>
      <c r="T4" s="51"/>
    </row>
    <row r="5" spans="1:20">
      <c r="A5" s="47">
        <v>1</v>
      </c>
      <c r="B5" s="39">
        <f>$B$4/EXP(-(data!C4+data!$L$12)*A5)</f>
        <v>0.8094718593932918</v>
      </c>
      <c r="C5" s="39">
        <f>data!$L$4*'Basic Case'!B5</f>
        <v>809.47185939329177</v>
      </c>
      <c r="D5" s="41">
        <f>$D$4*EXP(data!C4*'Basic Case'!A5)</f>
        <v>199.81399999999999</v>
      </c>
      <c r="E5" s="34">
        <f t="shared" ref="E5:E14" si="0">C5+D5</f>
        <v>1009.2858593932917</v>
      </c>
      <c r="G5" s="47">
        <v>1</v>
      </c>
      <c r="H5" s="39">
        <f>EXP(-data!C4 * G5)</f>
        <v>1.0009308657051057</v>
      </c>
      <c r="I5" s="39">
        <f>data!I64*1.15</f>
        <v>8.3906219599195753E-3</v>
      </c>
      <c r="J5" s="41">
        <f>E5-E4*data!$L$10</f>
        <v>994.28585939329173</v>
      </c>
      <c r="K5" s="34">
        <f xml:space="preserve"> MAX($E$4,J5)</f>
        <v>999.99999999999989</v>
      </c>
      <c r="L5" s="51">
        <v>1</v>
      </c>
      <c r="M5" s="39">
        <f>H5*L5*(I5+(1-I5)*data!$L$11)*K5*((1-data!$L$11)^G4)</f>
        <v>58.025054162294524</v>
      </c>
      <c r="O5" s="47">
        <v>1</v>
      </c>
      <c r="P5" s="39">
        <f>EXP(-data!C4 * 'Basic Case'!O5)</f>
        <v>1.0009308657051057</v>
      </c>
      <c r="Q5" s="39">
        <f>data!I64*1.15</f>
        <v>8.3906219599195753E-3</v>
      </c>
      <c r="R5" s="41">
        <f>E5-E4*data!$L$10</f>
        <v>994.28585939329173</v>
      </c>
      <c r="S5" s="34">
        <v>1</v>
      </c>
      <c r="T5" s="51">
        <f>P5*S5*(Q5+(1-Q5)*data!$L$11)*R5*((1-data!$L$11)^O4)</f>
        <v>57.693490844099315</v>
      </c>
    </row>
    <row r="6" spans="1:20">
      <c r="A6" s="47">
        <v>2</v>
      </c>
      <c r="B6" s="39">
        <f>$B$4/EXP(-(data!C5+data!$L$12)*A6)</f>
        <v>0.82000712920278007</v>
      </c>
      <c r="C6" s="39">
        <f>data!$L$4*'Basic Case'!B6</f>
        <v>820.00712920278011</v>
      </c>
      <c r="D6" s="41">
        <f>$D$4*EXP(data!C5*'Basic Case'!A6)</f>
        <v>199.86002450000001</v>
      </c>
      <c r="E6" s="34">
        <f t="shared" si="0"/>
        <v>1019.8671537027801</v>
      </c>
      <c r="G6" s="47">
        <v>2</v>
      </c>
      <c r="H6" s="39">
        <f>EXP(-data!C5 * G6)</f>
        <v>1.0007003676715749</v>
      </c>
      <c r="I6" s="39">
        <f>data!I65*1.15</f>
        <v>9.2411720510894076E-3</v>
      </c>
      <c r="J6" s="41">
        <f>E6-E5*data!$L$10</f>
        <v>1004.7278658118807</v>
      </c>
      <c r="K6" s="34">
        <f t="shared" ref="K6:K14" si="1" xml:space="preserve"> MAX($E$4,J6)</f>
        <v>1004.7278658118807</v>
      </c>
      <c r="L6" s="51">
        <f>(1-I5)</f>
        <v>0.99160937804008042</v>
      </c>
      <c r="M6" s="39">
        <f>H6*L6*(I6+(1-I6)*data!$L$11)*K6*((1-data!$L$11)^G5)</f>
        <v>55.672377575097755</v>
      </c>
      <c r="O6" s="47">
        <v>2</v>
      </c>
      <c r="P6" s="39">
        <f>EXP(-data!C5 * 'Basic Case'!O6)</f>
        <v>1.0007003676715749</v>
      </c>
      <c r="Q6" s="39">
        <f>data!I65*1.15</f>
        <v>9.2411720510894076E-3</v>
      </c>
      <c r="R6" s="41">
        <f>E6-E5*data!$L$10</f>
        <v>1004.7278658118807</v>
      </c>
      <c r="S6" s="34">
        <f>(1-Q5)</f>
        <v>0.99160937804008042</v>
      </c>
      <c r="T6" s="51">
        <f>P6*S6*(Q6+(1-Q6)*data!$L$11)*R6*((1-data!$L$11)^O5)</f>
        <v>55.672377575097755</v>
      </c>
    </row>
    <row r="7" spans="1:20">
      <c r="A7" s="47">
        <v>3</v>
      </c>
      <c r="B7" s="39">
        <f>$B$4/EXP(-(data!C6+data!$L$12)*A7)</f>
        <v>0.83264158245890318</v>
      </c>
      <c r="C7" s="39">
        <f>data!$L$4*'Basic Case'!B7</f>
        <v>832.64158245890314</v>
      </c>
      <c r="D7" s="41">
        <f>$D$4*EXP(data!C6*'Basic Case'!A7)</f>
        <v>200.37823819000934</v>
      </c>
      <c r="E7" s="34">
        <f t="shared" si="0"/>
        <v>1033.0198206489124</v>
      </c>
      <c r="G7" s="47">
        <v>3</v>
      </c>
      <c r="H7" s="39">
        <f>EXP(-data!C6 * G7)</f>
        <v>0.99811237890189108</v>
      </c>
      <c r="I7" s="39">
        <f>data!I66*1.15</f>
        <v>1.0111305035071004E-2</v>
      </c>
      <c r="J7" s="41">
        <f>E7-E6*data!$L$10</f>
        <v>1017.7218133433707</v>
      </c>
      <c r="K7" s="34">
        <f t="shared" si="1"/>
        <v>1017.7218133433707</v>
      </c>
      <c r="L7" s="51">
        <f t="shared" ref="L7:L14" si="2">L6*(1-I6)</f>
        <v>0.98244574517013827</v>
      </c>
      <c r="M7" s="39">
        <f>H7*L7*(I7+(1-I7)*data!$L$11)*K7*((1-data!$L$11)^G6)</f>
        <v>53.684930367717087</v>
      </c>
      <c r="O7" s="47">
        <v>3</v>
      </c>
      <c r="P7" s="39">
        <f>EXP(-data!C6 * 'Basic Case'!O7)</f>
        <v>0.99811237890189108</v>
      </c>
      <c r="Q7" s="39">
        <f>data!I66*1.15</f>
        <v>1.0111305035071004E-2</v>
      </c>
      <c r="R7" s="41">
        <f>E7-E6*data!$L$10</f>
        <v>1017.7218133433707</v>
      </c>
      <c r="S7" s="34">
        <f t="shared" ref="S7:S14" si="3">S6*(1-Q6)</f>
        <v>0.98244574517013827</v>
      </c>
      <c r="T7" s="51">
        <f>P7*S7*(Q7+(1-Q7)*data!$L$11)*R7*((1-data!$L$11)^O6)</f>
        <v>53.684930367717087</v>
      </c>
    </row>
    <row r="8" spans="1:20">
      <c r="A8" s="47">
        <v>4</v>
      </c>
      <c r="B8" s="39">
        <f>$B$4/EXP(-(data!C7+data!$L$12)*A8)</f>
        <v>0.84824292985419936</v>
      </c>
      <c r="C8" s="39">
        <f>data!$L$4*'Basic Case'!B8</f>
        <v>848.24292985419936</v>
      </c>
      <c r="D8" s="41">
        <f>$D$4*EXP(data!C7*'Basic Case'!A8)</f>
        <v>201.5565221639402</v>
      </c>
      <c r="E8" s="34">
        <f t="shared" si="0"/>
        <v>1049.7994520181396</v>
      </c>
      <c r="G8" s="47">
        <v>4</v>
      </c>
      <c r="H8" s="39">
        <f>EXP(-data!C7 * G8)</f>
        <v>0.99227749046654934</v>
      </c>
      <c r="I8" s="39">
        <f>data!I67*1.15</f>
        <v>1.1130675526024319E-2</v>
      </c>
      <c r="J8" s="41">
        <f>E8-E7*data!$L$10</f>
        <v>1034.304154708406</v>
      </c>
      <c r="K8" s="34">
        <f t="shared" si="1"/>
        <v>1034.304154708406</v>
      </c>
      <c r="L8" s="51">
        <f t="shared" si="2"/>
        <v>0.97251193656031543</v>
      </c>
      <c r="M8" s="39">
        <f>H8*L8*(I8+(1-I8)*data!$L$11)*K8*((1-data!$L$11)^G7)</f>
        <v>51.836352527932867</v>
      </c>
      <c r="O8" s="47">
        <v>4</v>
      </c>
      <c r="P8" s="39">
        <f>EXP(-data!C7 * 'Basic Case'!O8)</f>
        <v>0.99227749046654934</v>
      </c>
      <c r="Q8" s="39">
        <f>data!I67*1.15</f>
        <v>1.1130675526024319E-2</v>
      </c>
      <c r="R8" s="41">
        <f>E8-E7*data!$L$10</f>
        <v>1034.304154708406</v>
      </c>
      <c r="S8" s="34">
        <f t="shared" si="3"/>
        <v>0.97251193656031543</v>
      </c>
      <c r="T8" s="51">
        <f>P8*S8*(Q8+(1-Q8)*data!$L$11)*R8*((1-data!$L$11)^O7)</f>
        <v>51.836352527932867</v>
      </c>
    </row>
    <row r="9" spans="1:20">
      <c r="A9" s="47">
        <v>5</v>
      </c>
      <c r="B9" s="39">
        <f>$B$4/EXP(-(data!C8+data!$L$12)*A9)</f>
        <v>0.86699796990485067</v>
      </c>
      <c r="C9" s="39">
        <f>data!$L$4*'Basic Case'!B9</f>
        <v>866.99796990485072</v>
      </c>
      <c r="D9" s="41">
        <f>$D$4*EXP(data!C8*'Basic Case'!A9)</f>
        <v>203.41306224859591</v>
      </c>
      <c r="E9" s="34">
        <f t="shared" si="0"/>
        <v>1070.4110321534467</v>
      </c>
      <c r="G9" s="47">
        <v>5</v>
      </c>
      <c r="H9" s="39">
        <f>EXP(-data!C8 * G9)</f>
        <v>0.98322102715102566</v>
      </c>
      <c r="I9" s="39">
        <f>data!I68*1.15</f>
        <v>1.2281103929505897E-2</v>
      </c>
      <c r="J9" s="41">
        <f>E9-E8*data!$L$10</f>
        <v>1054.6640403731747</v>
      </c>
      <c r="K9" s="34">
        <f t="shared" si="1"/>
        <v>1054.6640403731747</v>
      </c>
      <c r="L9" s="51">
        <f t="shared" si="2"/>
        <v>0.96168722174927701</v>
      </c>
      <c r="M9" s="39">
        <f>H9*L9*(I9+(1-I9)*data!$L$11)*K9*((1-data!$L$11)^G8)</f>
        <v>50.08950357026491</v>
      </c>
      <c r="O9" s="47">
        <v>5</v>
      </c>
      <c r="P9" s="39">
        <f>EXP(-data!C8 * 'Basic Case'!O9)</f>
        <v>0.98322102715102566</v>
      </c>
      <c r="Q9" s="39">
        <f>data!I68*1.15</f>
        <v>1.2281103929505897E-2</v>
      </c>
      <c r="R9" s="41">
        <f>E9-E8*data!$L$10</f>
        <v>1054.6640403731747</v>
      </c>
      <c r="S9" s="34">
        <f t="shared" si="3"/>
        <v>0.96168722174927701</v>
      </c>
      <c r="T9" s="51">
        <f>P9*S9*(Q9+(1-Q9)*data!$L$11)*R9*((1-data!$L$11)^O8)</f>
        <v>50.08950357026491</v>
      </c>
    </row>
    <row r="10" spans="1:20">
      <c r="A10" s="47">
        <v>6</v>
      </c>
      <c r="B10" s="39">
        <f>$B$4/EXP(-(data!C9+data!$L$12)*A10)</f>
        <v>0.88840497131460527</v>
      </c>
      <c r="C10" s="39">
        <f>data!$L$4*'Basic Case'!B10</f>
        <v>888.40497131460529</v>
      </c>
      <c r="D10" s="41">
        <f>$D$4*EXP(data!C9*'Basic Case'!A10)</f>
        <v>205.80498363055301</v>
      </c>
      <c r="E10" s="34">
        <f t="shared" si="0"/>
        <v>1094.2099549451582</v>
      </c>
      <c r="G10" s="47">
        <v>6</v>
      </c>
      <c r="H10" s="39">
        <f>EXP(-data!C9 * G10)</f>
        <v>0.9717937654951363</v>
      </c>
      <c r="I10" s="39">
        <f>data!I69*1.15</f>
        <v>1.370053463846909E-2</v>
      </c>
      <c r="J10" s="41">
        <f>E10-E9*data!$L$10</f>
        <v>1078.1537894628566</v>
      </c>
      <c r="K10" s="34">
        <f t="shared" si="1"/>
        <v>1078.1537894628566</v>
      </c>
      <c r="L10" s="51">
        <f t="shared" si="2"/>
        <v>0.94987664103129632</v>
      </c>
      <c r="M10" s="39">
        <f>H10*L10*(I10+(1-I10)*data!$L$11)*K10*((1-data!$L$11)^G9)</f>
        <v>48.527452985661249</v>
      </c>
      <c r="O10" s="47">
        <v>6</v>
      </c>
      <c r="P10" s="39">
        <f>EXP(-data!C9 * 'Basic Case'!O10)</f>
        <v>0.9717937654951363</v>
      </c>
      <c r="Q10" s="39">
        <f>data!I69*1.15</f>
        <v>1.370053463846909E-2</v>
      </c>
      <c r="R10" s="41">
        <f>E10-E9*data!$L$10</f>
        <v>1078.1537894628566</v>
      </c>
      <c r="S10" s="34">
        <f t="shared" si="3"/>
        <v>0.94987664103129632</v>
      </c>
      <c r="T10" s="51">
        <f>P10*S10*(Q10+(1-Q10)*data!$L$11)*R10*((1-data!$L$11)^O9)</f>
        <v>48.527452985661249</v>
      </c>
    </row>
    <row r="11" spans="1:20">
      <c r="A11" s="47">
        <v>7</v>
      </c>
      <c r="B11" s="39">
        <f>$B$4/EXP(-(data!C10+data!$L$12)*A11)</f>
        <v>0.91253475461614164</v>
      </c>
      <c r="C11" s="39">
        <f>data!$L$4*'Basic Case'!B11</f>
        <v>912.53475461614164</v>
      </c>
      <c r="D11" s="41">
        <f>$D$4*EXP(data!C10*'Basic Case'!A11)</f>
        <v>208.72692288245241</v>
      </c>
      <c r="E11" s="34">
        <f t="shared" si="0"/>
        <v>1121.2616774985941</v>
      </c>
      <c r="G11" s="47">
        <v>7</v>
      </c>
      <c r="H11" s="39">
        <f>EXP(-data!C10 * G11)</f>
        <v>0.95818975931836481</v>
      </c>
      <c r="I11" s="39">
        <f>data!I70*1.15</f>
        <v>1.5010238283171511E-2</v>
      </c>
      <c r="J11" s="41">
        <f>E11-E10*data!$L$10</f>
        <v>1104.8485281744167</v>
      </c>
      <c r="K11" s="34">
        <f t="shared" si="1"/>
        <v>1104.8485281744167</v>
      </c>
      <c r="L11" s="51">
        <f t="shared" si="2"/>
        <v>0.93686282320857439</v>
      </c>
      <c r="M11" s="39">
        <f>H11*L11*(I11+(1-I11)*data!$L$11)*K11*((1-data!$L$11)^G10)</f>
        <v>46.850127339601926</v>
      </c>
      <c r="O11" s="47">
        <v>7</v>
      </c>
      <c r="P11" s="39">
        <f>EXP(-data!C10 * 'Basic Case'!O11)</f>
        <v>0.95818975931836481</v>
      </c>
      <c r="Q11" s="39">
        <f>data!I70*1.15</f>
        <v>1.5010238283171511E-2</v>
      </c>
      <c r="R11" s="41">
        <f>E11-E10*data!$L$10</f>
        <v>1104.8485281744167</v>
      </c>
      <c r="S11" s="34">
        <f t="shared" si="3"/>
        <v>0.93686282320857439</v>
      </c>
      <c r="T11" s="51">
        <f>P11*S11*(Q11+(1-Q11)*data!$L$11)*R11*((1-data!$L$11)^O10)</f>
        <v>46.850127339601926</v>
      </c>
    </row>
    <row r="12" spans="1:20">
      <c r="A12" s="47">
        <v>8</v>
      </c>
      <c r="B12" s="39">
        <f>$B$4/EXP(-(data!C11+data!$L$12)*A12)</f>
        <v>0.93928605101351625</v>
      </c>
      <c r="C12" s="39">
        <f>data!$L$4*'Basic Case'!B12</f>
        <v>939.28605101351627</v>
      </c>
      <c r="D12" s="41">
        <f>$D$4*EXP(data!C11*'Basic Case'!A12)</f>
        <v>212.13438989680142</v>
      </c>
      <c r="E12" s="34">
        <f t="shared" si="0"/>
        <v>1151.4204409103177</v>
      </c>
      <c r="G12" s="47">
        <v>8</v>
      </c>
      <c r="H12" s="39">
        <f>EXP(-data!C11 * G12)</f>
        <v>0.94279857262792455</v>
      </c>
      <c r="I12" s="39">
        <f>data!I71*1.15</f>
        <v>1.6754949232695104E-2</v>
      </c>
      <c r="J12" s="41">
        <f>E12-E11*data!$L$10</f>
        <v>1134.6015157478387</v>
      </c>
      <c r="K12" s="34">
        <f t="shared" si="1"/>
        <v>1134.6015157478387</v>
      </c>
      <c r="L12" s="51">
        <f t="shared" si="2"/>
        <v>0.92280028899356892</v>
      </c>
      <c r="M12" s="39">
        <f>H12*L12*(I12+(1-I12)*data!$L$11)*K12*((1-data!$L$11)^G11)</f>
        <v>45.439547472074828</v>
      </c>
      <c r="O12" s="47">
        <v>8</v>
      </c>
      <c r="P12" s="39">
        <f>EXP(-data!C11 * 'Basic Case'!O12)</f>
        <v>0.94279857262792455</v>
      </c>
      <c r="Q12" s="39">
        <f>data!I71*1.15</f>
        <v>1.6754949232695104E-2</v>
      </c>
      <c r="R12" s="41">
        <f>E12-E11*data!$L$10</f>
        <v>1134.6015157478387</v>
      </c>
      <c r="S12" s="34">
        <f t="shared" si="3"/>
        <v>0.92280028899356892</v>
      </c>
      <c r="T12" s="51">
        <f>P12*S12*(Q12+(1-Q12)*data!$L$11)*R12*((1-data!$L$11)^O11)</f>
        <v>45.439547472074828</v>
      </c>
    </row>
    <row r="13" spans="1:20">
      <c r="A13" s="47">
        <v>9</v>
      </c>
      <c r="B13" s="39">
        <f>$B$4/EXP(-(data!C12+data!$L$12)*A13)</f>
        <v>0.96887747509637423</v>
      </c>
      <c r="C13" s="39">
        <f>data!$L$4*'Basic Case'!B13</f>
        <v>968.87747509637427</v>
      </c>
      <c r="D13" s="41">
        <f>$D$4*EXP(data!C12*'Basic Case'!A13)</f>
        <v>216.05594235766836</v>
      </c>
      <c r="E13" s="34">
        <f t="shared" si="0"/>
        <v>1184.9334174540427</v>
      </c>
      <c r="G13" s="47">
        <v>9</v>
      </c>
      <c r="H13" s="39">
        <f>EXP(-data!C12 * G13)</f>
        <v>0.92568618024359339</v>
      </c>
      <c r="I13" s="39">
        <f>data!I72*1.15</f>
        <v>1.7746621343464455E-2</v>
      </c>
      <c r="J13" s="41">
        <f>E13-E12*data!$L$10</f>
        <v>1167.6621108403879</v>
      </c>
      <c r="K13" s="34">
        <f t="shared" si="1"/>
        <v>1167.6621108403879</v>
      </c>
      <c r="L13" s="51">
        <f t="shared" si="2"/>
        <v>0.90733881699956531</v>
      </c>
      <c r="M13" s="39">
        <f>H13*L13*(I13+(1-I13)*data!$L$11)*K13*((1-data!$L$11)^G12)</f>
        <v>43.501182599195737</v>
      </c>
      <c r="O13" s="47">
        <v>9</v>
      </c>
      <c r="P13" s="39">
        <f>EXP(-data!C12 * 'Basic Case'!O13)</f>
        <v>0.92568618024359339</v>
      </c>
      <c r="Q13" s="39">
        <f>data!I72*1.15</f>
        <v>1.7746621343464455E-2</v>
      </c>
      <c r="R13" s="41">
        <f>E13-E12*data!$L$10</f>
        <v>1167.6621108403879</v>
      </c>
      <c r="S13" s="34">
        <f t="shared" si="3"/>
        <v>0.90733881699956531</v>
      </c>
      <c r="T13" s="51">
        <f>P13*S13*(Q13+(1-Q13)*data!$L$11)*R13*((1-data!$L$11)^O12)</f>
        <v>43.501182599195737</v>
      </c>
    </row>
    <row r="14" spans="1:20">
      <c r="A14" s="48">
        <v>10</v>
      </c>
      <c r="B14" s="40">
        <f>$B$4/EXP(-(data!C13+data!$L$12)*A14)</f>
        <v>1</v>
      </c>
      <c r="C14" s="40">
        <f>data!$L$4*'Basic Case'!B14</f>
        <v>1000</v>
      </c>
      <c r="D14" s="42">
        <f>$D$4*EXP(data!C13*'Basic Case'!A14)</f>
        <v>220.18184469018664</v>
      </c>
      <c r="E14" s="37">
        <f t="shared" si="0"/>
        <v>1220.1818446901866</v>
      </c>
      <c r="F14" s="29"/>
      <c r="G14" s="48">
        <v>10</v>
      </c>
      <c r="H14" s="40">
        <f>EXP(-data!C13 * G14)</f>
        <v>0.90834010534072829</v>
      </c>
      <c r="I14" s="40">
        <v>1</v>
      </c>
      <c r="J14" s="42">
        <f>E14-E13*data!$L$10</f>
        <v>1202.4078434283761</v>
      </c>
      <c r="K14" s="37">
        <f t="shared" si="1"/>
        <v>1202.4078434283761</v>
      </c>
      <c r="L14" s="52">
        <f t="shared" si="2"/>
        <v>0.89123661858404701</v>
      </c>
      <c r="M14" s="40">
        <f>H14*L14*(I14+(1-I14)*data!$L$11)*K14*((1-data!$L$11)^G13)</f>
        <v>613.48755907319742</v>
      </c>
      <c r="O14" s="48">
        <v>10</v>
      </c>
      <c r="P14" s="40">
        <f>EXP(-data!C13 * 'Basic Case'!O14)</f>
        <v>0.90834010534072829</v>
      </c>
      <c r="Q14" s="40">
        <v>1</v>
      </c>
      <c r="R14" s="42">
        <f>E14-E13*data!$L$10</f>
        <v>1202.4078434283761</v>
      </c>
      <c r="S14" s="37">
        <f t="shared" si="3"/>
        <v>0.89123661858404701</v>
      </c>
      <c r="T14" s="52">
        <f>P14*S14*(Q14+(1-Q14)*data!$L$11)*R14*((1-data!$L$11)^O13)</f>
        <v>613.48755907319742</v>
      </c>
    </row>
    <row r="16" spans="1:20">
      <c r="L16" s="29"/>
    </row>
    <row r="18" spans="1:16">
      <c r="A18" s="53" t="s">
        <v>22</v>
      </c>
      <c r="B18" s="44">
        <f>E4</f>
        <v>999.99999999999989</v>
      </c>
      <c r="G18" s="53" t="s">
        <v>28</v>
      </c>
      <c r="H18" s="44">
        <f>SUM(M5:M14)</f>
        <v>1067.1140876730383</v>
      </c>
      <c r="O18" s="53" t="s">
        <v>28</v>
      </c>
      <c r="P18" s="44">
        <f>SUM(T5:T14)</f>
        <v>1066.7825243548432</v>
      </c>
    </row>
    <row r="19" spans="1:16">
      <c r="G19" s="54" t="s">
        <v>29</v>
      </c>
      <c r="H19" s="37">
        <f>SUMPRODUCT(G5:G14,M5:M14)/H18</f>
        <v>7.7753970708645248</v>
      </c>
      <c r="O19" s="54" t="s">
        <v>29</v>
      </c>
      <c r="P19" s="37">
        <f>SUMPRODUCT(O5:O14,T5:T14)/P18</f>
        <v>7.7775029106993721</v>
      </c>
    </row>
    <row r="20" spans="1:16">
      <c r="G20" s="33"/>
      <c r="H20" s="33"/>
    </row>
    <row r="21" spans="1:16">
      <c r="G21" s="53" t="s">
        <v>39</v>
      </c>
      <c r="H21" s="44">
        <f>B18-H18</f>
        <v>-67.114087673038398</v>
      </c>
      <c r="O21" s="53" t="s">
        <v>39</v>
      </c>
      <c r="P21" s="44">
        <f>B18-P18</f>
        <v>-66.782524354843304</v>
      </c>
    </row>
    <row r="22" spans="1:16">
      <c r="G22" s="54" t="s">
        <v>38</v>
      </c>
      <c r="H22" s="37">
        <f>'Basic Case'!H21-Mortality!H21</f>
        <v>-0.47745254059077524</v>
      </c>
      <c r="O22" s="54" t="s">
        <v>38</v>
      </c>
      <c r="P22" s="37">
        <f>'Basic Case'!P21-Mortality!P21</f>
        <v>-0.48339910576237344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D72B-74B9-48FB-8D04-FD0DCEE782F9}">
  <dimension ref="A1:T24"/>
  <sheetViews>
    <sheetView topLeftCell="A5" workbookViewId="0">
      <selection activeCell="P20" sqref="P20"/>
    </sheetView>
  </sheetViews>
  <sheetFormatPr defaultColWidth="8.85546875" defaultRowHeight="15"/>
  <cols>
    <col min="1" max="1" width="11.28515625" bestFit="1" customWidth="1"/>
  </cols>
  <sheetData>
    <row r="1" spans="1:20" ht="21">
      <c r="A1" s="50" t="s">
        <v>62</v>
      </c>
      <c r="G1" s="50" t="s">
        <v>55</v>
      </c>
      <c r="H1" s="49"/>
      <c r="O1" s="50" t="s">
        <v>56</v>
      </c>
    </row>
    <row r="3" spans="1:20">
      <c r="A3" s="45" t="s">
        <v>36</v>
      </c>
      <c r="B3" s="44">
        <f>data!L11*1.5</f>
        <v>7.5000000000000011E-2</v>
      </c>
    </row>
    <row r="5" spans="1:20">
      <c r="A5" s="43" t="s">
        <v>13</v>
      </c>
      <c r="B5" s="45" t="s">
        <v>30</v>
      </c>
      <c r="C5" s="45" t="s">
        <v>14</v>
      </c>
      <c r="D5" s="45" t="s">
        <v>15</v>
      </c>
      <c r="E5" s="46" t="s">
        <v>21</v>
      </c>
      <c r="G5" s="43" t="s">
        <v>13</v>
      </c>
      <c r="H5" s="45" t="s">
        <v>23</v>
      </c>
      <c r="I5" s="45" t="s">
        <v>24</v>
      </c>
      <c r="J5" s="45" t="s">
        <v>32</v>
      </c>
      <c r="K5" s="46" t="s">
        <v>25</v>
      </c>
      <c r="L5" s="45" t="s">
        <v>26</v>
      </c>
      <c r="M5" s="45" t="s">
        <v>27</v>
      </c>
      <c r="O5" s="43" t="s">
        <v>13</v>
      </c>
      <c r="P5" s="45" t="s">
        <v>23</v>
      </c>
      <c r="Q5" s="45" t="s">
        <v>24</v>
      </c>
      <c r="R5" s="45" t="s">
        <v>25</v>
      </c>
      <c r="S5" s="46" t="s">
        <v>26</v>
      </c>
      <c r="T5" s="45" t="s">
        <v>27</v>
      </c>
    </row>
    <row r="6" spans="1:20">
      <c r="A6" s="47">
        <v>0</v>
      </c>
      <c r="B6" s="39">
        <f>EXP(-(data!C13 +data!$L$12)*A16)</f>
        <v>0.79999999999999993</v>
      </c>
      <c r="C6" s="39">
        <f>data!$L$4*B6</f>
        <v>799.99999999999989</v>
      </c>
      <c r="D6" s="39">
        <f>data!L6</f>
        <v>200</v>
      </c>
      <c r="E6" s="34">
        <f>C6+D6</f>
        <v>999.99999999999989</v>
      </c>
      <c r="G6" s="47">
        <v>0</v>
      </c>
      <c r="H6" s="39">
        <v>1</v>
      </c>
      <c r="I6" s="39"/>
      <c r="J6" s="39"/>
      <c r="K6" s="34">
        <v>1000</v>
      </c>
      <c r="L6" s="51"/>
      <c r="M6" s="39"/>
      <c r="O6" s="47">
        <v>0</v>
      </c>
      <c r="P6" s="39">
        <v>1</v>
      </c>
      <c r="Q6" s="39"/>
      <c r="R6" s="39">
        <f>E6</f>
        <v>999.99999999999989</v>
      </c>
      <c r="S6" s="34"/>
      <c r="T6" s="51"/>
    </row>
    <row r="7" spans="1:20">
      <c r="A7" s="47">
        <v>1</v>
      </c>
      <c r="B7" s="39">
        <f>$B$6/EXP(-(data!C4+data!$L$12)*A7)</f>
        <v>0.8094718593932918</v>
      </c>
      <c r="C7" s="39">
        <f>data!$L$4*B7</f>
        <v>809.47185939329177</v>
      </c>
      <c r="D7" s="41">
        <f>$D$6*EXP(data!C4*A7)</f>
        <v>199.81399999999999</v>
      </c>
      <c r="E7" s="34">
        <f t="shared" ref="E7:E16" si="0">C7+D7</f>
        <v>1009.2858593932917</v>
      </c>
      <c r="G7" s="47">
        <v>1</v>
      </c>
      <c r="H7" s="39">
        <f>EXP(-data!C4 * G7)</f>
        <v>1.0009308657051057</v>
      </c>
      <c r="I7" s="39">
        <f>data!I64</f>
        <v>7.2961930086257176E-3</v>
      </c>
      <c r="J7" s="41">
        <f>E7-E6*data!$L$10</f>
        <v>994.28585939329173</v>
      </c>
      <c r="K7" s="34">
        <f xml:space="preserve"> MAX($E$6,J7)</f>
        <v>999.99999999999989</v>
      </c>
      <c r="L7" s="51">
        <v>1</v>
      </c>
      <c r="M7" s="39">
        <f>H7*L7*(I7+(1-I7)*$B$3)*K7*((1-$B$3)^G6)</f>
        <v>81.825075853522563</v>
      </c>
      <c r="O7" s="47">
        <v>1</v>
      </c>
      <c r="P7" s="39">
        <f>EXP(-data!C4 * O7)</f>
        <v>1.0009308657051057</v>
      </c>
      <c r="Q7" s="39">
        <f>data!I64</f>
        <v>7.2961930086257176E-3</v>
      </c>
      <c r="R7" s="41">
        <f>E7-E6*data!$L$10</f>
        <v>994.28585939329173</v>
      </c>
      <c r="S7" s="34">
        <v>1</v>
      </c>
      <c r="T7" s="51">
        <f>P7*S7*(Q7+(1-Q7)*$B$3)*R7*((1-$B$3)^O6)</f>
        <v>81.357515864940964</v>
      </c>
    </row>
    <row r="8" spans="1:20">
      <c r="A8" s="47">
        <v>2</v>
      </c>
      <c r="B8" s="39">
        <f>$B$6/EXP(-(data!C5+data!$L$12)*A8)</f>
        <v>0.82000712920278007</v>
      </c>
      <c r="C8" s="39">
        <f>data!$L$4*B8</f>
        <v>820.00712920278011</v>
      </c>
      <c r="D8" s="41">
        <f>$D$6*EXP(data!C5*A8)</f>
        <v>199.86002450000001</v>
      </c>
      <c r="E8" s="34">
        <f t="shared" si="0"/>
        <v>1019.8671537027801</v>
      </c>
      <c r="G8" s="47">
        <v>2</v>
      </c>
      <c r="H8" s="39">
        <f>EXP(-data!C5 * G8)</f>
        <v>1.0007003676715749</v>
      </c>
      <c r="I8" s="39">
        <f>data!I65</f>
        <v>8.0358017835560069E-3</v>
      </c>
      <c r="J8" s="41">
        <f>E8-E7*data!$L$10</f>
        <v>1004.7278658118807</v>
      </c>
      <c r="K8" s="34">
        <f xml:space="preserve"> MAX($E$4,J8)</f>
        <v>1004.7278658118807</v>
      </c>
      <c r="L8" s="51">
        <f>(1-I7)</f>
        <v>0.99270380699137428</v>
      </c>
      <c r="M8" s="39">
        <f t="shared" ref="M8:M16" si="1">H8*L8*(I8+(1-I8)*$B$3)*K8*((1-$B$3)^G7)</f>
        <v>76.105430507526123</v>
      </c>
      <c r="O8" s="47">
        <v>2</v>
      </c>
      <c r="P8" s="39">
        <f>EXP(-data!C5 * O8)</f>
        <v>1.0007003676715749</v>
      </c>
      <c r="Q8" s="39">
        <f>data!I65</f>
        <v>8.0358017835560069E-3</v>
      </c>
      <c r="R8" s="41">
        <f>E8-E7*data!$L$10</f>
        <v>1004.7278658118807</v>
      </c>
      <c r="S8" s="34">
        <f>(1-Q7)</f>
        <v>0.99270380699137428</v>
      </c>
      <c r="T8" s="51">
        <f t="shared" ref="T8:T16" si="2">P8*S8*(Q8+(1-Q8)*$B$3)*R8*((1-$B$3)^O7)</f>
        <v>76.105430507526123</v>
      </c>
    </row>
    <row r="9" spans="1:20">
      <c r="A9" s="47">
        <v>3</v>
      </c>
      <c r="B9" s="39">
        <f>$B$6/EXP(-(data!C6+data!$L$12)*A9)</f>
        <v>0.83264158245890318</v>
      </c>
      <c r="C9" s="39">
        <f>data!$L$4*B9</f>
        <v>832.64158245890314</v>
      </c>
      <c r="D9" s="41">
        <f>$D$6*EXP(data!C6*A9)</f>
        <v>200.37823819000934</v>
      </c>
      <c r="E9" s="34">
        <f t="shared" si="0"/>
        <v>1033.0198206489124</v>
      </c>
      <c r="G9" s="47">
        <v>3</v>
      </c>
      <c r="H9" s="39">
        <f>EXP(-data!C6 * G9)</f>
        <v>0.99811237890189108</v>
      </c>
      <c r="I9" s="39">
        <f>data!I66</f>
        <v>8.7924391609313091E-3</v>
      </c>
      <c r="J9" s="41">
        <f>E9-E8*data!$L$10</f>
        <v>1017.7218133433707</v>
      </c>
      <c r="K9" s="34">
        <f t="shared" ref="K9:K16" si="3" xml:space="preserve"> MAX($E$4,J9)</f>
        <v>1017.7218133433707</v>
      </c>
      <c r="L9" s="51">
        <f t="shared" ref="L9:L16" si="4">L8*(1-I8)</f>
        <v>0.98472663596861021</v>
      </c>
      <c r="M9" s="39">
        <f t="shared" si="1"/>
        <v>71.151025074177085</v>
      </c>
      <c r="O9" s="47">
        <v>3</v>
      </c>
      <c r="P9" s="39">
        <f>EXP(-data!C6 * O9)</f>
        <v>0.99811237890189108</v>
      </c>
      <c r="Q9" s="39">
        <f>data!I66</f>
        <v>8.7924391609313091E-3</v>
      </c>
      <c r="R9" s="41">
        <f>E9-E8*data!$L$10</f>
        <v>1017.7218133433707</v>
      </c>
      <c r="S9" s="34">
        <f>S8*(1-Q8)</f>
        <v>0.98472663596861021</v>
      </c>
      <c r="T9" s="51">
        <f t="shared" si="2"/>
        <v>71.151025074177085</v>
      </c>
    </row>
    <row r="10" spans="1:20">
      <c r="A10" s="47">
        <v>4</v>
      </c>
      <c r="B10" s="39">
        <f>$B$6/EXP(-(data!C7+data!$L$12)*A10)</f>
        <v>0.84824292985419936</v>
      </c>
      <c r="C10" s="39">
        <f>data!$L$4*B10</f>
        <v>848.24292985419936</v>
      </c>
      <c r="D10" s="41">
        <f>$D$6*EXP(data!C7*A10)</f>
        <v>201.5565221639402</v>
      </c>
      <c r="E10" s="34">
        <f t="shared" si="0"/>
        <v>1049.7994520181396</v>
      </c>
      <c r="G10" s="47">
        <v>4</v>
      </c>
      <c r="H10" s="39">
        <f>EXP(-data!C7 * G10)</f>
        <v>0.99227749046654934</v>
      </c>
      <c r="I10" s="39">
        <f>data!I67</f>
        <v>9.6788482834994083E-3</v>
      </c>
      <c r="J10" s="41">
        <f>E10-E9*data!$L$10</f>
        <v>1034.304154708406</v>
      </c>
      <c r="K10" s="34">
        <f t="shared" si="3"/>
        <v>1034.304154708406</v>
      </c>
      <c r="L10" s="51">
        <f t="shared" si="4"/>
        <v>0.97606848693170767</v>
      </c>
      <c r="M10" s="39">
        <f t="shared" si="1"/>
        <v>66.56145096121746</v>
      </c>
      <c r="O10" s="47">
        <v>4</v>
      </c>
      <c r="P10" s="39">
        <f>EXP(-data!C7 * O10)</f>
        <v>0.99227749046654934</v>
      </c>
      <c r="Q10" s="39">
        <f>data!I67</f>
        <v>9.6788482834994083E-3</v>
      </c>
      <c r="R10" s="41">
        <f>E10-E9*data!$L$10</f>
        <v>1034.304154708406</v>
      </c>
      <c r="S10" s="34">
        <f t="shared" ref="S10:S16" si="5">S9*(1-Q9)</f>
        <v>0.97606848693170767</v>
      </c>
      <c r="T10" s="51">
        <f t="shared" si="2"/>
        <v>66.56145096121746</v>
      </c>
    </row>
    <row r="11" spans="1:20">
      <c r="A11" s="47">
        <v>5</v>
      </c>
      <c r="B11" s="39">
        <f>$B$6/EXP(-(data!C8+data!$L$12)*A11)</f>
        <v>0.86699796990485067</v>
      </c>
      <c r="C11" s="39">
        <f>data!$L$4*B11</f>
        <v>866.99796990485072</v>
      </c>
      <c r="D11" s="41">
        <f>$D$6*EXP(data!C8*A11)</f>
        <v>203.41306224859591</v>
      </c>
      <c r="E11" s="34">
        <f t="shared" si="0"/>
        <v>1070.4110321534467</v>
      </c>
      <c r="G11" s="47">
        <v>5</v>
      </c>
      <c r="H11" s="39">
        <f>EXP(-data!C8 * G11)</f>
        <v>0.98322102715102566</v>
      </c>
      <c r="I11" s="39">
        <f>data!I68</f>
        <v>1.0679220808265999E-2</v>
      </c>
      <c r="J11" s="41">
        <f>E11-E10*data!$L$10</f>
        <v>1054.6640403731747</v>
      </c>
      <c r="K11" s="34">
        <f t="shared" si="3"/>
        <v>1054.6640403731747</v>
      </c>
      <c r="L11" s="51">
        <f t="shared" si="4"/>
        <v>0.9666212681323908</v>
      </c>
      <c r="M11" s="39">
        <f t="shared" si="1"/>
        <v>62.285239728704902</v>
      </c>
      <c r="O11" s="47">
        <v>5</v>
      </c>
      <c r="P11" s="39">
        <f>EXP(-data!C8 * O11)</f>
        <v>0.98322102715102566</v>
      </c>
      <c r="Q11" s="39">
        <f>data!I68</f>
        <v>1.0679220808265999E-2</v>
      </c>
      <c r="R11" s="41">
        <f>E11-E10*data!$L$10</f>
        <v>1054.6640403731747</v>
      </c>
      <c r="S11" s="34">
        <f t="shared" si="5"/>
        <v>0.9666212681323908</v>
      </c>
      <c r="T11" s="51">
        <f t="shared" si="2"/>
        <v>62.285239728704902</v>
      </c>
    </row>
    <row r="12" spans="1:20">
      <c r="A12" s="47">
        <v>6</v>
      </c>
      <c r="B12" s="39">
        <f>$B$6/EXP(-(data!C9+data!$L$12)*A12)</f>
        <v>0.88840497131460527</v>
      </c>
      <c r="C12" s="39">
        <f>data!$L$4*B12</f>
        <v>888.40497131460529</v>
      </c>
      <c r="D12" s="41">
        <f>$D$6*EXP(data!C9*A12)</f>
        <v>205.80498363055301</v>
      </c>
      <c r="E12" s="34">
        <f t="shared" si="0"/>
        <v>1094.2099549451582</v>
      </c>
      <c r="G12" s="47">
        <v>6</v>
      </c>
      <c r="H12" s="39">
        <f>EXP(-data!C9 * G12)</f>
        <v>0.9717937654951363</v>
      </c>
      <c r="I12" s="39">
        <f>data!I69</f>
        <v>1.1913508381277471E-2</v>
      </c>
      <c r="J12" s="41">
        <f>E12-E11*data!$L$10</f>
        <v>1078.1537894628566</v>
      </c>
      <c r="K12" s="34">
        <f t="shared" si="3"/>
        <v>1078.1537894628566</v>
      </c>
      <c r="L12" s="51">
        <f t="shared" si="4"/>
        <v>0.95629850617203893</v>
      </c>
      <c r="M12" s="39">
        <f t="shared" si="1"/>
        <v>58.365522468016763</v>
      </c>
      <c r="O12" s="47">
        <v>6</v>
      </c>
      <c r="P12" s="39">
        <f>EXP(-data!C9 * O12)</f>
        <v>0.9717937654951363</v>
      </c>
      <c r="Q12" s="39">
        <f>data!I69</f>
        <v>1.1913508381277471E-2</v>
      </c>
      <c r="R12" s="41">
        <f>E12-E11*data!$L$10</f>
        <v>1078.1537894628566</v>
      </c>
      <c r="S12" s="34">
        <f t="shared" si="5"/>
        <v>0.95629850617203893</v>
      </c>
      <c r="T12" s="51">
        <f t="shared" si="2"/>
        <v>58.365522468016763</v>
      </c>
    </row>
    <row r="13" spans="1:20">
      <c r="A13" s="47">
        <v>7</v>
      </c>
      <c r="B13" s="39">
        <f>$B$6/EXP(-(data!C10+data!$L$12)*A13)</f>
        <v>0.91253475461614164</v>
      </c>
      <c r="C13" s="39">
        <f>data!$L$4*B13</f>
        <v>912.53475461614164</v>
      </c>
      <c r="D13" s="41">
        <f>$D$6*EXP(data!C10*A13)</f>
        <v>208.72692288245241</v>
      </c>
      <c r="E13" s="34">
        <f t="shared" si="0"/>
        <v>1121.2616774985941</v>
      </c>
      <c r="G13" s="47">
        <v>7</v>
      </c>
      <c r="H13" s="39">
        <f>EXP(-data!C10 * G13)</f>
        <v>0.95818975931836481</v>
      </c>
      <c r="I13" s="39">
        <f>data!I70</f>
        <v>1.3052381115801315E-2</v>
      </c>
      <c r="J13" s="41">
        <f>E13-E12*data!$L$10</f>
        <v>1104.8485281744167</v>
      </c>
      <c r="K13" s="34">
        <f t="shared" si="3"/>
        <v>1104.8485281744167</v>
      </c>
      <c r="L13" s="51">
        <f t="shared" si="4"/>
        <v>0.9449056359037552</v>
      </c>
      <c r="M13" s="39">
        <f t="shared" si="1"/>
        <v>54.56056603050628</v>
      </c>
      <c r="O13" s="47">
        <v>7</v>
      </c>
      <c r="P13" s="39">
        <f>EXP(-data!C10 * O13)</f>
        <v>0.95818975931836481</v>
      </c>
      <c r="Q13" s="39">
        <f>data!I70</f>
        <v>1.3052381115801315E-2</v>
      </c>
      <c r="R13" s="41">
        <f>E13-E12*data!$L$10</f>
        <v>1104.8485281744167</v>
      </c>
      <c r="S13" s="34">
        <f t="shared" si="5"/>
        <v>0.9449056359037552</v>
      </c>
      <c r="T13" s="51">
        <f t="shared" si="2"/>
        <v>54.56056603050628</v>
      </c>
    </row>
    <row r="14" spans="1:20">
      <c r="A14" s="47">
        <v>8</v>
      </c>
      <c r="B14" s="39">
        <f>$B$6/EXP(-(data!C11+data!$L$12)*A14)</f>
        <v>0.93928605101351625</v>
      </c>
      <c r="C14" s="39">
        <f>data!$L$4*B14</f>
        <v>939.28605101351627</v>
      </c>
      <c r="D14" s="41">
        <f>$D$6*EXP(data!C11*A14)</f>
        <v>212.13438989680142</v>
      </c>
      <c r="E14" s="34">
        <f t="shared" si="0"/>
        <v>1151.4204409103177</v>
      </c>
      <c r="G14" s="47">
        <v>8</v>
      </c>
      <c r="H14" s="39">
        <f>EXP(-data!C11 * G14)</f>
        <v>0.94279857262792455</v>
      </c>
      <c r="I14" s="39">
        <f>data!I71</f>
        <v>1.4569521071908786E-2</v>
      </c>
      <c r="J14" s="41">
        <f>E14-E13*data!$L$10</f>
        <v>1134.6015157478387</v>
      </c>
      <c r="K14" s="34">
        <f t="shared" si="3"/>
        <v>1134.6015157478387</v>
      </c>
      <c r="L14" s="51">
        <f t="shared" si="4"/>
        <v>0.93257236742547078</v>
      </c>
      <c r="M14" s="39">
        <f t="shared" si="1"/>
        <v>51.140667121345899</v>
      </c>
      <c r="O14" s="47">
        <v>8</v>
      </c>
      <c r="P14" s="39">
        <f>EXP(-data!C11 * O14)</f>
        <v>0.94279857262792455</v>
      </c>
      <c r="Q14" s="39">
        <f>data!I71</f>
        <v>1.4569521071908786E-2</v>
      </c>
      <c r="R14" s="41">
        <f>E14-E13*data!$L$10</f>
        <v>1134.6015157478387</v>
      </c>
      <c r="S14" s="34">
        <f t="shared" si="5"/>
        <v>0.93257236742547078</v>
      </c>
      <c r="T14" s="51">
        <f t="shared" si="2"/>
        <v>51.140667121345899</v>
      </c>
    </row>
    <row r="15" spans="1:20">
      <c r="A15" s="47">
        <v>9</v>
      </c>
      <c r="B15" s="39">
        <f>$B$6/EXP(-(data!C12+data!$L$12)*A15)</f>
        <v>0.96887747509637423</v>
      </c>
      <c r="C15" s="39">
        <f>data!$L$4*B15</f>
        <v>968.87747509637427</v>
      </c>
      <c r="D15" s="41">
        <f>$D$6*EXP(data!C12*A15)</f>
        <v>216.05594235766836</v>
      </c>
      <c r="E15" s="34">
        <f t="shared" si="0"/>
        <v>1184.9334174540427</v>
      </c>
      <c r="G15" s="47">
        <v>9</v>
      </c>
      <c r="H15" s="39">
        <f>EXP(-data!C12 * G15)</f>
        <v>0.92568618024359339</v>
      </c>
      <c r="I15" s="39">
        <f>data!I72</f>
        <v>1.5431844646490833E-2</v>
      </c>
      <c r="J15" s="41">
        <f>E15-E14*data!$L$10</f>
        <v>1167.6621108403879</v>
      </c>
      <c r="K15" s="34">
        <f t="shared" si="3"/>
        <v>1167.6621108403879</v>
      </c>
      <c r="L15" s="51">
        <f t="shared" si="4"/>
        <v>0.91898523466718551</v>
      </c>
      <c r="M15" s="39">
        <f t="shared" si="1"/>
        <v>47.52811363261786</v>
      </c>
      <c r="O15" s="47">
        <v>9</v>
      </c>
      <c r="P15" s="39">
        <f>EXP(-data!C12 * O15)</f>
        <v>0.92568618024359339</v>
      </c>
      <c r="Q15" s="39">
        <f>data!I72</f>
        <v>1.5431844646490833E-2</v>
      </c>
      <c r="R15" s="41">
        <f>E15-E14*data!$L$10</f>
        <v>1167.6621108403879</v>
      </c>
      <c r="S15" s="34">
        <f t="shared" si="5"/>
        <v>0.91898523466718551</v>
      </c>
      <c r="T15" s="51">
        <f t="shared" si="2"/>
        <v>47.52811363261786</v>
      </c>
    </row>
    <row r="16" spans="1:20">
      <c r="A16" s="48">
        <v>10</v>
      </c>
      <c r="B16" s="40">
        <f>$B$6/EXP(-(data!C13+data!$L$12)*A16)</f>
        <v>1</v>
      </c>
      <c r="C16" s="40">
        <f>data!$L$4*B16</f>
        <v>1000</v>
      </c>
      <c r="D16" s="42">
        <f>$D$6*EXP(data!C13*A16)</f>
        <v>220.18184469018664</v>
      </c>
      <c r="E16" s="37">
        <f t="shared" si="0"/>
        <v>1220.1818446901866</v>
      </c>
      <c r="F16" s="29"/>
      <c r="G16" s="48">
        <v>10</v>
      </c>
      <c r="H16" s="40">
        <f>EXP(-data!C13 * G16)</f>
        <v>0.90834010534072829</v>
      </c>
      <c r="I16" s="40">
        <v>1</v>
      </c>
      <c r="J16" s="42">
        <f>E16-E15*data!$L$10</f>
        <v>1202.4078434283761</v>
      </c>
      <c r="K16" s="37">
        <f t="shared" si="3"/>
        <v>1202.4078434283761</v>
      </c>
      <c r="L16" s="52">
        <f t="shared" si="4"/>
        <v>0.90480359729338256</v>
      </c>
      <c r="M16" s="40">
        <f t="shared" si="1"/>
        <v>489.92567933517643</v>
      </c>
      <c r="O16" s="48">
        <v>10</v>
      </c>
      <c r="P16" s="40">
        <f>EXP(-data!C13 * O16)</f>
        <v>0.90834010534072829</v>
      </c>
      <c r="Q16" s="40">
        <v>1</v>
      </c>
      <c r="R16" s="42">
        <f>E16-E15*data!$L$10</f>
        <v>1202.4078434283761</v>
      </c>
      <c r="S16" s="37">
        <f t="shared" si="5"/>
        <v>0.90480359729338256</v>
      </c>
      <c r="T16" s="52">
        <f t="shared" si="2"/>
        <v>489.92567933517643</v>
      </c>
    </row>
    <row r="20" spans="1:16">
      <c r="A20" s="53" t="s">
        <v>22</v>
      </c>
      <c r="B20" s="44">
        <f>E6</f>
        <v>999.99999999999989</v>
      </c>
      <c r="G20" s="53" t="s">
        <v>28</v>
      </c>
      <c r="H20" s="44">
        <f>SUM(M7:M16)</f>
        <v>1059.4487707128114</v>
      </c>
      <c r="O20" s="53" t="s">
        <v>28</v>
      </c>
      <c r="P20" s="44">
        <f>SUM(T7:T16)</f>
        <v>1058.9812107242296</v>
      </c>
    </row>
    <row r="21" spans="1:16">
      <c r="G21" s="54" t="s">
        <v>29</v>
      </c>
      <c r="H21" s="37">
        <f>SUMPRODUCT(G7:G16,M7:M16)/H20</f>
        <v>7.0729359189076852</v>
      </c>
      <c r="O21" s="54" t="s">
        <v>29</v>
      </c>
      <c r="P21" s="37">
        <f>SUMPRODUCT(O7:O16,T7:T16)/P20</f>
        <v>7.0756172335713901</v>
      </c>
    </row>
    <row r="22" spans="1:16">
      <c r="G22" s="33"/>
      <c r="H22" s="33"/>
    </row>
    <row r="23" spans="1:16">
      <c r="G23" s="53" t="s">
        <v>39</v>
      </c>
      <c r="H23" s="44">
        <f>B20-H20</f>
        <v>-59.448770712811552</v>
      </c>
      <c r="O23" s="53" t="s">
        <v>39</v>
      </c>
      <c r="P23" s="44">
        <f>B20-P20</f>
        <v>-58.981210724229754</v>
      </c>
    </row>
    <row r="24" spans="1:16">
      <c r="G24" s="54" t="s">
        <v>38</v>
      </c>
      <c r="H24" s="37">
        <f>'Basic Case'!H21-'Lapse up'!H23</f>
        <v>-8.1427695008176215</v>
      </c>
      <c r="O24" s="54" t="s">
        <v>38</v>
      </c>
      <c r="P24" s="37">
        <f>'Basic Case'!P21-'Lapse up'!P23</f>
        <v>-8.2847127363759228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2E39-5379-4E26-8A7D-0DE267ADCBC0}">
  <dimension ref="A1:T24"/>
  <sheetViews>
    <sheetView topLeftCell="A6" workbookViewId="0">
      <selection activeCell="H21" sqref="H21"/>
    </sheetView>
  </sheetViews>
  <sheetFormatPr defaultColWidth="8.85546875" defaultRowHeight="15"/>
  <cols>
    <col min="1" max="1" width="15.85546875" bestFit="1" customWidth="1"/>
  </cols>
  <sheetData>
    <row r="1" spans="1:20" ht="21">
      <c r="A1" s="50" t="s">
        <v>63</v>
      </c>
      <c r="G1" s="50" t="s">
        <v>55</v>
      </c>
      <c r="H1" s="49"/>
      <c r="O1" s="50" t="s">
        <v>56</v>
      </c>
    </row>
    <row r="3" spans="1:20">
      <c r="A3" s="45" t="s">
        <v>36</v>
      </c>
      <c r="B3" s="44">
        <f>data!L11*0.5</f>
        <v>2.5000000000000001E-2</v>
      </c>
    </row>
    <row r="5" spans="1:20">
      <c r="A5" s="43" t="s">
        <v>13</v>
      </c>
      <c r="B5" s="45" t="s">
        <v>30</v>
      </c>
      <c r="C5" s="45" t="s">
        <v>14</v>
      </c>
      <c r="D5" s="45" t="s">
        <v>15</v>
      </c>
      <c r="E5" s="46" t="s">
        <v>21</v>
      </c>
      <c r="G5" s="43" t="s">
        <v>13</v>
      </c>
      <c r="H5" s="45" t="s">
        <v>23</v>
      </c>
      <c r="I5" s="45" t="s">
        <v>24</v>
      </c>
      <c r="J5" s="45" t="s">
        <v>32</v>
      </c>
      <c r="K5" s="46" t="s">
        <v>25</v>
      </c>
      <c r="L5" s="45" t="s">
        <v>26</v>
      </c>
      <c r="M5" s="45" t="s">
        <v>27</v>
      </c>
      <c r="O5" s="43" t="s">
        <v>13</v>
      </c>
      <c r="P5" s="45" t="s">
        <v>23</v>
      </c>
      <c r="Q5" s="45" t="s">
        <v>24</v>
      </c>
      <c r="R5" s="45" t="s">
        <v>25</v>
      </c>
      <c r="S5" s="46" t="s">
        <v>26</v>
      </c>
      <c r="T5" s="45" t="s">
        <v>27</v>
      </c>
    </row>
    <row r="6" spans="1:20">
      <c r="A6" s="47">
        <v>0</v>
      </c>
      <c r="B6" s="39">
        <f>EXP(-(data!C13 +data!$L$12)*A16)</f>
        <v>0.79999999999999993</v>
      </c>
      <c r="C6" s="39">
        <f>data!$L$4*B6</f>
        <v>799.99999999999989</v>
      </c>
      <c r="D6" s="39">
        <f>data!L6</f>
        <v>200</v>
      </c>
      <c r="E6" s="34">
        <f>C6+D6</f>
        <v>999.99999999999989</v>
      </c>
      <c r="G6" s="47">
        <v>0</v>
      </c>
      <c r="H6" s="39">
        <v>1</v>
      </c>
      <c r="I6" s="39"/>
      <c r="J6" s="39"/>
      <c r="K6" s="34">
        <v>1000</v>
      </c>
      <c r="L6" s="51"/>
      <c r="M6" s="39"/>
      <c r="O6" s="47">
        <v>0</v>
      </c>
      <c r="P6" s="39">
        <v>1</v>
      </c>
      <c r="Q6" s="39"/>
      <c r="R6" s="39">
        <f>E6</f>
        <v>999.99999999999989</v>
      </c>
      <c r="S6" s="34"/>
      <c r="T6" s="51"/>
    </row>
    <row r="7" spans="1:20">
      <c r="A7" s="47">
        <v>1</v>
      </c>
      <c r="B7" s="39">
        <f>$B$6/EXP(-(data!C4+data!$L$12)*A7)</f>
        <v>0.8094718593932918</v>
      </c>
      <c r="C7" s="39">
        <f>data!$L$4*B7</f>
        <v>809.47185939329177</v>
      </c>
      <c r="D7" s="41">
        <f>$D$6*EXP(data!C4*A7)</f>
        <v>199.81399999999999</v>
      </c>
      <c r="E7" s="34">
        <f t="shared" ref="E7:E16" si="0">C7+D7</f>
        <v>1009.2858593932917</v>
      </c>
      <c r="G7" s="47">
        <v>1</v>
      </c>
      <c r="H7" s="39">
        <f>EXP(-data!C4* G7)</f>
        <v>1.0009308657051057</v>
      </c>
      <c r="I7" s="39">
        <f>data!I64</f>
        <v>7.2961930086257176E-3</v>
      </c>
      <c r="J7" s="41">
        <f>E7-E6*data!$L$10</f>
        <v>994.28585939329173</v>
      </c>
      <c r="K7" s="34">
        <f xml:space="preserve"> MAX($E$6,J7)</f>
        <v>999.99999999999989</v>
      </c>
      <c r="L7" s="51">
        <v>1</v>
      </c>
      <c r="M7" s="39">
        <f>H7*L7*(I7+(1-I7)*$B$3)*K7*((1-$B$3)^G6)</f>
        <v>32.143681807491035</v>
      </c>
      <c r="O7" s="47">
        <v>1</v>
      </c>
      <c r="P7" s="39">
        <f>EXP(-data!C4 * O7)</f>
        <v>1.0009308657051057</v>
      </c>
      <c r="Q7" s="39">
        <f>data!I64</f>
        <v>7.2961930086257176E-3</v>
      </c>
      <c r="R7" s="41">
        <f>E7-E6*data!$L$10</f>
        <v>994.28585939329173</v>
      </c>
      <c r="S7" s="34">
        <v>1</v>
      </c>
      <c r="T7" s="51">
        <f>P7*S7*(Q7+(1-Q7)*$B$3)*R7*((1-$B$3)^O6)</f>
        <v>31.960008290025744</v>
      </c>
    </row>
    <row r="8" spans="1:20">
      <c r="A8" s="47">
        <v>2</v>
      </c>
      <c r="B8" s="39">
        <f>$B$6/EXP(-(data!C5+data!$L$12)*A8)</f>
        <v>0.82000712920278007</v>
      </c>
      <c r="C8" s="39">
        <f>data!$L$4*B8</f>
        <v>820.00712920278011</v>
      </c>
      <c r="D8" s="41">
        <f>$D$6*EXP(data!C5*A8)</f>
        <v>199.86002450000001</v>
      </c>
      <c r="E8" s="34">
        <f t="shared" si="0"/>
        <v>1019.8671537027801</v>
      </c>
      <c r="G8" s="47">
        <v>2</v>
      </c>
      <c r="H8" s="39">
        <f>EXP(-data!C5* G8)</f>
        <v>1.0007003676715749</v>
      </c>
      <c r="I8" s="39">
        <f>data!I65</f>
        <v>8.0358017835560069E-3</v>
      </c>
      <c r="J8" s="41">
        <f>E8-E7*data!$L$10</f>
        <v>1004.7278658118807</v>
      </c>
      <c r="K8" s="34">
        <f t="shared" ref="K8:K16" si="1" xml:space="preserve"> MAX($E$6,J8)</f>
        <v>1004.7278658118807</v>
      </c>
      <c r="L8" s="51">
        <f>(1-I7)</f>
        <v>0.99270380699137428</v>
      </c>
      <c r="M8" s="39">
        <f t="shared" ref="M8:M16" si="2">H8*L8*(I8+(1-I8)*$B$3)*K8*((1-$B$3)^G7)</f>
        <v>31.953070453579915</v>
      </c>
      <c r="O8" s="47">
        <v>2</v>
      </c>
      <c r="P8" s="39">
        <f>EXP(-data!C5 * O8)</f>
        <v>1.0007003676715749</v>
      </c>
      <c r="Q8" s="39">
        <f>data!I65</f>
        <v>8.0358017835560069E-3</v>
      </c>
      <c r="R8" s="41">
        <f>E8-E7*data!$L$10</f>
        <v>1004.7278658118807</v>
      </c>
      <c r="S8" s="34">
        <f>(1-Q7)</f>
        <v>0.99270380699137428</v>
      </c>
      <c r="T8" s="51">
        <f t="shared" ref="T8:T16" si="3">P8*S8*(Q8+(1-Q8)*$B$3)*R8*((1-$B$3)^O7)</f>
        <v>31.953070453579915</v>
      </c>
    </row>
    <row r="9" spans="1:20">
      <c r="A9" s="47">
        <v>3</v>
      </c>
      <c r="B9" s="39">
        <f>$B$6/EXP(-(data!C6+data!$L$12)*A9)</f>
        <v>0.83264158245890318</v>
      </c>
      <c r="C9" s="39">
        <f>data!$L$4*B9</f>
        <v>832.64158245890314</v>
      </c>
      <c r="D9" s="41">
        <f>$D$6*EXP(data!C6*A9)</f>
        <v>200.37823819000934</v>
      </c>
      <c r="E9" s="34">
        <f t="shared" si="0"/>
        <v>1033.0198206489124</v>
      </c>
      <c r="G9" s="47">
        <v>3</v>
      </c>
      <c r="H9" s="39">
        <f>EXP(-data!C6* G9)</f>
        <v>0.99811237890189108</v>
      </c>
      <c r="I9" s="39">
        <f>data!I66</f>
        <v>8.7924391609313091E-3</v>
      </c>
      <c r="J9" s="41">
        <f>E9-E8*data!$L$10</f>
        <v>1017.7218133433707</v>
      </c>
      <c r="K9" s="34">
        <f t="shared" si="1"/>
        <v>1017.7218133433707</v>
      </c>
      <c r="L9" s="51">
        <f t="shared" ref="L9:L16" si="4">L8*(1-I8)</f>
        <v>0.98472663596861021</v>
      </c>
      <c r="M9" s="39">
        <f t="shared" si="2"/>
        <v>31.924108807755854</v>
      </c>
      <c r="O9" s="47">
        <v>3</v>
      </c>
      <c r="P9" s="39">
        <f>EXP(-data!C6 * O9)</f>
        <v>0.99811237890189108</v>
      </c>
      <c r="Q9" s="39">
        <f>data!I66</f>
        <v>8.7924391609313091E-3</v>
      </c>
      <c r="R9" s="41">
        <f>E9-E8*data!$L$10</f>
        <v>1017.7218133433707</v>
      </c>
      <c r="S9" s="34">
        <f>S8*(1-Q8)</f>
        <v>0.98472663596861021</v>
      </c>
      <c r="T9" s="51">
        <f t="shared" si="3"/>
        <v>31.924108807755854</v>
      </c>
    </row>
    <row r="10" spans="1:20">
      <c r="A10" s="47">
        <v>4</v>
      </c>
      <c r="B10" s="39">
        <f>$B$6/EXP(-(data!C7+data!$L$12)*A10)</f>
        <v>0.84824292985419936</v>
      </c>
      <c r="C10" s="39">
        <f>data!$L$4*B10</f>
        <v>848.24292985419936</v>
      </c>
      <c r="D10" s="41">
        <f>$D$6*EXP(data!C7*A10)</f>
        <v>201.5565221639402</v>
      </c>
      <c r="E10" s="34">
        <f t="shared" si="0"/>
        <v>1049.7994520181396</v>
      </c>
      <c r="G10" s="47">
        <v>4</v>
      </c>
      <c r="H10" s="39">
        <f>EXP(-data!C7* G10)</f>
        <v>0.99227749046654934</v>
      </c>
      <c r="I10" s="39">
        <f>data!I67</f>
        <v>9.6788482834994083E-3</v>
      </c>
      <c r="J10" s="41">
        <f>E10-E9*data!$L$10</f>
        <v>1034.304154708406</v>
      </c>
      <c r="K10" s="34">
        <f t="shared" si="1"/>
        <v>1034.304154708406</v>
      </c>
      <c r="L10" s="51">
        <f t="shared" si="4"/>
        <v>0.97606848693170767</v>
      </c>
      <c r="M10" s="39">
        <f t="shared" si="2"/>
        <v>31.974172069653164</v>
      </c>
      <c r="O10" s="47">
        <v>4</v>
      </c>
      <c r="P10" s="39">
        <f>EXP(-data!C7 * O10)</f>
        <v>0.99227749046654934</v>
      </c>
      <c r="Q10" s="39">
        <f>data!I67</f>
        <v>9.6788482834994083E-3</v>
      </c>
      <c r="R10" s="41">
        <f>E10-E9*data!$L$10</f>
        <v>1034.304154708406</v>
      </c>
      <c r="S10" s="34">
        <f t="shared" ref="S10:S16" si="5">S9*(1-Q9)</f>
        <v>0.97606848693170767</v>
      </c>
      <c r="T10" s="51">
        <f t="shared" si="3"/>
        <v>31.974172069653164</v>
      </c>
    </row>
    <row r="11" spans="1:20">
      <c r="A11" s="47">
        <v>5</v>
      </c>
      <c r="B11" s="39">
        <f>$B$6/EXP(-(data!C8+data!$L$12)*A11)</f>
        <v>0.86699796990485067</v>
      </c>
      <c r="C11" s="39">
        <f>data!$L$4*B11</f>
        <v>866.99796990485072</v>
      </c>
      <c r="D11" s="41">
        <f>$D$6*EXP(data!C8*A11)</f>
        <v>203.41306224859591</v>
      </c>
      <c r="E11" s="34">
        <f t="shared" si="0"/>
        <v>1070.4110321534467</v>
      </c>
      <c r="G11" s="47">
        <v>5</v>
      </c>
      <c r="H11" s="39">
        <f>EXP(-data!C8* G11)</f>
        <v>0.98322102715102566</v>
      </c>
      <c r="I11" s="39">
        <f>data!I68</f>
        <v>1.0679220808265999E-2</v>
      </c>
      <c r="J11" s="41">
        <f>E11-E10*data!$L$10</f>
        <v>1054.6640403731747</v>
      </c>
      <c r="K11" s="34">
        <f t="shared" si="1"/>
        <v>1054.6640403731747</v>
      </c>
      <c r="L11" s="51">
        <f t="shared" si="4"/>
        <v>0.9666212681323908</v>
      </c>
      <c r="M11" s="39">
        <f t="shared" si="2"/>
        <v>32.07698257081563</v>
      </c>
      <c r="O11" s="47">
        <v>5</v>
      </c>
      <c r="P11" s="39">
        <f>EXP(-data!C8 * O11)</f>
        <v>0.98322102715102566</v>
      </c>
      <c r="Q11" s="39">
        <f>data!I68</f>
        <v>1.0679220808265999E-2</v>
      </c>
      <c r="R11" s="41">
        <f>E11-E10*data!$L$10</f>
        <v>1054.6640403731747</v>
      </c>
      <c r="S11" s="34">
        <f t="shared" si="5"/>
        <v>0.9666212681323908</v>
      </c>
      <c r="T11" s="51">
        <f t="shared" si="3"/>
        <v>32.07698257081563</v>
      </c>
    </row>
    <row r="12" spans="1:20">
      <c r="A12" s="47">
        <v>6</v>
      </c>
      <c r="B12" s="39">
        <f>$B$6/EXP(-(data!C9+data!$L$12)*A12)</f>
        <v>0.88840497131460527</v>
      </c>
      <c r="C12" s="39">
        <f>data!$L$4*B12</f>
        <v>888.40497131460529</v>
      </c>
      <c r="D12" s="41">
        <f>$D$6*EXP(data!C9*A12)</f>
        <v>205.80498363055301</v>
      </c>
      <c r="E12" s="34">
        <f t="shared" si="0"/>
        <v>1094.2099549451582</v>
      </c>
      <c r="G12" s="47">
        <v>6</v>
      </c>
      <c r="H12" s="39">
        <f>EXP(-data!C9* G12)</f>
        <v>0.9717937654951363</v>
      </c>
      <c r="I12" s="39">
        <f>data!I69</f>
        <v>1.1913508381277471E-2</v>
      </c>
      <c r="J12" s="41">
        <f>E12-E11*data!$L$10</f>
        <v>1078.1537894628566</v>
      </c>
      <c r="K12" s="34">
        <f t="shared" si="1"/>
        <v>1078.1537894628566</v>
      </c>
      <c r="L12" s="51">
        <f t="shared" si="4"/>
        <v>0.95629850617203893</v>
      </c>
      <c r="M12" s="39">
        <f t="shared" si="2"/>
        <v>32.324987930001306</v>
      </c>
      <c r="O12" s="47">
        <v>6</v>
      </c>
      <c r="P12" s="39">
        <f>EXP(-data!C9 * O12)</f>
        <v>0.9717937654951363</v>
      </c>
      <c r="Q12" s="39">
        <f>data!I69</f>
        <v>1.1913508381277471E-2</v>
      </c>
      <c r="R12" s="41">
        <f>E12-E11*data!$L$10</f>
        <v>1078.1537894628566</v>
      </c>
      <c r="S12" s="34">
        <f t="shared" si="5"/>
        <v>0.95629850617203893</v>
      </c>
      <c r="T12" s="51">
        <f t="shared" si="3"/>
        <v>32.324987930001306</v>
      </c>
    </row>
    <row r="13" spans="1:20">
      <c r="A13" s="47">
        <v>7</v>
      </c>
      <c r="B13" s="39">
        <f>$B$6/EXP(-(data!C10+data!$L$12)*A13)</f>
        <v>0.91253475461614164</v>
      </c>
      <c r="C13" s="39">
        <f>data!$L$4*B13</f>
        <v>912.53475461614164</v>
      </c>
      <c r="D13" s="41">
        <f>$D$6*EXP(data!C10*A13)</f>
        <v>208.72692288245241</v>
      </c>
      <c r="E13" s="34">
        <f t="shared" si="0"/>
        <v>1121.2616774985941</v>
      </c>
      <c r="G13" s="47">
        <v>7</v>
      </c>
      <c r="H13" s="39">
        <f>EXP(-data!C10* G13)</f>
        <v>0.95818975931836481</v>
      </c>
      <c r="I13" s="39">
        <f>data!I70</f>
        <v>1.3052381115801315E-2</v>
      </c>
      <c r="J13" s="41">
        <f>E13-E12*data!$L$10</f>
        <v>1104.8485281744167</v>
      </c>
      <c r="K13" s="34">
        <f t="shared" si="1"/>
        <v>1104.8485281744167</v>
      </c>
      <c r="L13" s="51">
        <f t="shared" si="4"/>
        <v>0.9449056359037552</v>
      </c>
      <c r="M13" s="39">
        <f t="shared" si="2"/>
        <v>32.419923411567346</v>
      </c>
      <c r="O13" s="47">
        <v>7</v>
      </c>
      <c r="P13" s="39">
        <f>EXP(-data!C10 * O13)</f>
        <v>0.95818975931836481</v>
      </c>
      <c r="Q13" s="39">
        <f>data!I70</f>
        <v>1.3052381115801315E-2</v>
      </c>
      <c r="R13" s="41">
        <f>E13-E12*data!$L$10</f>
        <v>1104.8485281744167</v>
      </c>
      <c r="S13" s="34">
        <f t="shared" si="5"/>
        <v>0.9449056359037552</v>
      </c>
      <c r="T13" s="51">
        <f t="shared" si="3"/>
        <v>32.419923411567346</v>
      </c>
    </row>
    <row r="14" spans="1:20">
      <c r="A14" s="47">
        <v>8</v>
      </c>
      <c r="B14" s="39">
        <f>$B$6/EXP(-(data!C11+data!$L$12)*A14)</f>
        <v>0.93928605101351625</v>
      </c>
      <c r="C14" s="39">
        <f>data!$L$4*B14</f>
        <v>939.28605101351627</v>
      </c>
      <c r="D14" s="41">
        <f>$D$6*EXP(data!C11*A14)</f>
        <v>212.13438989680142</v>
      </c>
      <c r="E14" s="34">
        <f t="shared" si="0"/>
        <v>1151.4204409103177</v>
      </c>
      <c r="G14" s="47">
        <v>8</v>
      </c>
      <c r="H14" s="39">
        <f>EXP(-data!C11* G14)</f>
        <v>0.94279857262792455</v>
      </c>
      <c r="I14" s="39">
        <f>data!I71</f>
        <v>1.4569521071908786E-2</v>
      </c>
      <c r="J14" s="41">
        <f>E14-E13*data!$L$10</f>
        <v>1134.6015157478387</v>
      </c>
      <c r="K14" s="34">
        <f t="shared" si="1"/>
        <v>1134.6015157478387</v>
      </c>
      <c r="L14" s="51">
        <f t="shared" si="4"/>
        <v>0.93257236742547078</v>
      </c>
      <c r="M14" s="39">
        <f t="shared" si="2"/>
        <v>32.758327634559187</v>
      </c>
      <c r="O14" s="47">
        <v>8</v>
      </c>
      <c r="P14" s="39">
        <f>EXP(-data!C11 * O14)</f>
        <v>0.94279857262792455</v>
      </c>
      <c r="Q14" s="39">
        <f>data!I71</f>
        <v>1.4569521071908786E-2</v>
      </c>
      <c r="R14" s="41">
        <f>E14-E13*data!$L$10</f>
        <v>1134.6015157478387</v>
      </c>
      <c r="S14" s="34">
        <f t="shared" si="5"/>
        <v>0.93257236742547078</v>
      </c>
      <c r="T14" s="51">
        <f t="shared" si="3"/>
        <v>32.758327634559187</v>
      </c>
    </row>
    <row r="15" spans="1:20">
      <c r="A15" s="47">
        <v>9</v>
      </c>
      <c r="B15" s="39">
        <f>$B$6/EXP(-(data!C12+data!$L$12)*A15)</f>
        <v>0.96887747509637423</v>
      </c>
      <c r="C15" s="39">
        <f>data!$L$4*B15</f>
        <v>968.87747509637427</v>
      </c>
      <c r="D15" s="41">
        <f>$D$6*EXP(data!C12*A15)</f>
        <v>216.05594235766836</v>
      </c>
      <c r="E15" s="34">
        <f t="shared" si="0"/>
        <v>1184.9334174540427</v>
      </c>
      <c r="G15" s="47">
        <v>9</v>
      </c>
      <c r="H15" s="39">
        <f>EXP(-data!C12* G15)</f>
        <v>0.92568618024359339</v>
      </c>
      <c r="I15" s="39">
        <f>data!I72</f>
        <v>1.5431844646490833E-2</v>
      </c>
      <c r="J15" s="41">
        <f>E15-E14*data!$L$10</f>
        <v>1167.6621108403879</v>
      </c>
      <c r="K15" s="34">
        <f t="shared" si="1"/>
        <v>1167.6621108403879</v>
      </c>
      <c r="L15" s="51">
        <f t="shared" si="4"/>
        <v>0.91898523466718551</v>
      </c>
      <c r="M15" s="39">
        <f t="shared" si="2"/>
        <v>32.485241280740645</v>
      </c>
      <c r="O15" s="47">
        <v>9</v>
      </c>
      <c r="P15" s="39">
        <f>EXP(-data!C12 * O15)</f>
        <v>0.92568618024359339</v>
      </c>
      <c r="Q15" s="39">
        <f>data!I72</f>
        <v>1.5431844646490833E-2</v>
      </c>
      <c r="R15" s="41">
        <f>E15-E14*data!$L$10</f>
        <v>1167.6621108403879</v>
      </c>
      <c r="S15" s="34">
        <f t="shared" si="5"/>
        <v>0.91898523466718551</v>
      </c>
      <c r="T15" s="51">
        <f t="shared" si="3"/>
        <v>32.485241280740645</v>
      </c>
    </row>
    <row r="16" spans="1:20">
      <c r="A16" s="48">
        <v>10</v>
      </c>
      <c r="B16" s="40">
        <f>$B$6/EXP(-(data!C13+data!$L$12)*A16)</f>
        <v>1</v>
      </c>
      <c r="C16" s="40">
        <f>data!$L$4*B16</f>
        <v>1000</v>
      </c>
      <c r="D16" s="42">
        <f>$D$6*EXP(data!C13*A16)</f>
        <v>220.18184469018664</v>
      </c>
      <c r="E16" s="37">
        <f t="shared" si="0"/>
        <v>1220.1818446901866</v>
      </c>
      <c r="F16" s="29"/>
      <c r="G16" s="48">
        <v>10</v>
      </c>
      <c r="H16" s="40">
        <f>EXP(-data!C13* G16)</f>
        <v>0.90834010534072829</v>
      </c>
      <c r="I16" s="40">
        <v>1</v>
      </c>
      <c r="J16" s="42">
        <f>E16-E15*data!$L$10</f>
        <v>1202.4078434283761</v>
      </c>
      <c r="K16" s="37">
        <f t="shared" si="1"/>
        <v>1202.4078434283761</v>
      </c>
      <c r="L16" s="52">
        <f t="shared" si="4"/>
        <v>0.90480359729338256</v>
      </c>
      <c r="M16" s="40">
        <f t="shared" si="2"/>
        <v>786.85761131290042</v>
      </c>
      <c r="O16" s="48">
        <v>10</v>
      </c>
      <c r="P16" s="40">
        <f>EXP(-data!C13 * O16)</f>
        <v>0.90834010534072829</v>
      </c>
      <c r="Q16" s="40">
        <v>1</v>
      </c>
      <c r="R16" s="42">
        <f>E16-E15*data!$L$10</f>
        <v>1202.4078434283761</v>
      </c>
      <c r="S16" s="37">
        <f t="shared" si="5"/>
        <v>0.90480359729338256</v>
      </c>
      <c r="T16" s="52">
        <f t="shared" si="3"/>
        <v>786.85761131290042</v>
      </c>
    </row>
    <row r="20" spans="1:16">
      <c r="A20" s="53" t="s">
        <v>22</v>
      </c>
      <c r="B20" s="44">
        <f>E6</f>
        <v>999.99999999999989</v>
      </c>
      <c r="G20" s="53" t="s">
        <v>28</v>
      </c>
      <c r="H20" s="44">
        <f>SUM(M7:M16)</f>
        <v>1076.9181072790645</v>
      </c>
      <c r="O20" s="53" t="s">
        <v>28</v>
      </c>
      <c r="P20" s="44">
        <f>SUM(T7:T16)</f>
        <v>1076.7344337615991</v>
      </c>
    </row>
    <row r="21" spans="1:16">
      <c r="G21" s="54" t="s">
        <v>29</v>
      </c>
      <c r="H21" s="37">
        <f>SUMPRODUCT(G7:G16,M7:M16)/H20</f>
        <v>8.6580427837931957</v>
      </c>
      <c r="O21" s="54" t="s">
        <v>29</v>
      </c>
      <c r="P21" s="37">
        <f>SUMPRODUCT(O7:O16,T7:T16)/P20</f>
        <v>8.6593491223023911</v>
      </c>
    </row>
    <row r="22" spans="1:16">
      <c r="G22" s="33"/>
      <c r="H22" s="33"/>
    </row>
    <row r="23" spans="1:16">
      <c r="G23" s="53" t="s">
        <v>39</v>
      </c>
      <c r="H23" s="44">
        <f>B20-H20</f>
        <v>-76.918107279064657</v>
      </c>
      <c r="O23" s="53" t="s">
        <v>39</v>
      </c>
      <c r="P23" s="44">
        <f>B20-P20</f>
        <v>-76.734433761599234</v>
      </c>
    </row>
    <row r="24" spans="1:16">
      <c r="G24" s="54" t="s">
        <v>38</v>
      </c>
      <c r="H24" s="37">
        <f>'Basic Case'!H21-'Lapse down'!H23</f>
        <v>9.3265670654354835</v>
      </c>
      <c r="O24" s="54" t="s">
        <v>38</v>
      </c>
      <c r="P24" s="37">
        <f>'Basic Case'!P21-'Lapse down'!P23</f>
        <v>9.4685103009935574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6F53-C2CA-4197-A2C8-D9DF2A70C21E}">
  <dimension ref="A1:T24"/>
  <sheetViews>
    <sheetView topLeftCell="A4" workbookViewId="0">
      <selection activeCell="P23" sqref="P23"/>
    </sheetView>
  </sheetViews>
  <sheetFormatPr defaultColWidth="8.85546875" defaultRowHeight="15"/>
  <cols>
    <col min="1" max="1" width="14.42578125" bestFit="1" customWidth="1"/>
  </cols>
  <sheetData>
    <row r="1" spans="1:20" ht="21">
      <c r="A1" s="50" t="s">
        <v>64</v>
      </c>
      <c r="G1" s="50" t="s">
        <v>55</v>
      </c>
      <c r="H1" s="49"/>
      <c r="O1" s="50" t="s">
        <v>56</v>
      </c>
    </row>
    <row r="3" spans="1:20">
      <c r="A3" s="45" t="s">
        <v>36</v>
      </c>
      <c r="B3" s="44">
        <f>0.4</f>
        <v>0.4</v>
      </c>
    </row>
    <row r="5" spans="1:20">
      <c r="A5" s="43" t="s">
        <v>13</v>
      </c>
      <c r="B5" s="45" t="s">
        <v>30</v>
      </c>
      <c r="C5" s="45" t="s">
        <v>14</v>
      </c>
      <c r="D5" s="45" t="s">
        <v>15</v>
      </c>
      <c r="E5" s="46" t="s">
        <v>21</v>
      </c>
      <c r="G5" s="43" t="s">
        <v>13</v>
      </c>
      <c r="H5" s="45" t="s">
        <v>23</v>
      </c>
      <c r="I5" s="45" t="s">
        <v>24</v>
      </c>
      <c r="J5" s="45" t="s">
        <v>32</v>
      </c>
      <c r="K5" s="46" t="s">
        <v>25</v>
      </c>
      <c r="L5" s="45" t="s">
        <v>26</v>
      </c>
      <c r="M5" s="45" t="s">
        <v>27</v>
      </c>
      <c r="O5" s="43" t="s">
        <v>13</v>
      </c>
      <c r="P5" s="45" t="s">
        <v>23</v>
      </c>
      <c r="Q5" s="45" t="s">
        <v>24</v>
      </c>
      <c r="R5" s="45" t="s">
        <v>25</v>
      </c>
      <c r="S5" s="46" t="s">
        <v>26</v>
      </c>
      <c r="T5" s="45" t="s">
        <v>27</v>
      </c>
    </row>
    <row r="6" spans="1:20">
      <c r="A6" s="47">
        <v>0</v>
      </c>
      <c r="B6" s="39">
        <f>EXP(-(data!C13 +data!$L$12)*A16)</f>
        <v>0.79999999999999993</v>
      </c>
      <c r="C6" s="39">
        <f>data!$L$4*B6</f>
        <v>799.99999999999989</v>
      </c>
      <c r="D6" s="39">
        <f>data!L6</f>
        <v>200</v>
      </c>
      <c r="E6" s="34">
        <f>C6+D6</f>
        <v>999.99999999999989</v>
      </c>
      <c r="G6" s="47">
        <v>0</v>
      </c>
      <c r="H6" s="39">
        <v>1</v>
      </c>
      <c r="I6" s="39"/>
      <c r="J6" s="39"/>
      <c r="K6" s="34">
        <v>1000</v>
      </c>
      <c r="L6" s="51"/>
      <c r="M6" s="39"/>
      <c r="O6" s="47">
        <v>0</v>
      </c>
      <c r="P6" s="39">
        <v>1</v>
      </c>
      <c r="Q6" s="39"/>
      <c r="R6" s="39">
        <f>E6</f>
        <v>999.99999999999989</v>
      </c>
      <c r="S6" s="34"/>
      <c r="T6" s="51"/>
    </row>
    <row r="7" spans="1:20">
      <c r="A7" s="47">
        <v>1</v>
      </c>
      <c r="B7" s="39">
        <f>$B$6/EXP(-(data!C4+data!$L$12)*A7)</f>
        <v>0.8094718593932918</v>
      </c>
      <c r="C7" s="39">
        <f>data!$L$4*B7</f>
        <v>809.47185939329177</v>
      </c>
      <c r="D7" s="41">
        <f>$D$6*EXP(data!C4*A7)</f>
        <v>199.81399999999999</v>
      </c>
      <c r="E7" s="34">
        <f t="shared" ref="E7:E16" si="0">C7+D7</f>
        <v>1009.2858593932917</v>
      </c>
      <c r="G7" s="47">
        <v>1</v>
      </c>
      <c r="H7" s="39">
        <f>EXP(-data!C4 * G7)</f>
        <v>1.0009308657051057</v>
      </c>
      <c r="I7" s="39">
        <f>data!I64</f>
        <v>7.2961930086257176E-3</v>
      </c>
      <c r="J7" s="41">
        <f>E7-E6*data!$L$10</f>
        <v>994.28585939329173</v>
      </c>
      <c r="K7" s="34">
        <f xml:space="preserve"> MAX($E$6,J7)</f>
        <v>999.99999999999989</v>
      </c>
      <c r="L7" s="51">
        <v>1</v>
      </c>
      <c r="M7" s="39">
        <f>H7*L7*(I7+(1-I7)*$B$3)*K7*((1-$B$3)^G6)</f>
        <v>404.75413715272742</v>
      </c>
      <c r="O7" s="47">
        <v>1</v>
      </c>
      <c r="P7" s="39">
        <f>EXP(-data!C4 * O7)</f>
        <v>1.0009308657051057</v>
      </c>
      <c r="Q7" s="39">
        <f>data!I64</f>
        <v>7.2961930086257176E-3</v>
      </c>
      <c r="R7" s="41">
        <f>E7-E6*data!$L$10</f>
        <v>994.28585939329173</v>
      </c>
      <c r="S7" s="34">
        <v>1</v>
      </c>
      <c r="T7" s="51">
        <f>P7*S7*(Q7+(1-Q7)*$B$3)*R7*((1-$B$3)^O6)</f>
        <v>402.44131510188987</v>
      </c>
    </row>
    <row r="8" spans="1:20">
      <c r="A8" s="47">
        <v>2</v>
      </c>
      <c r="B8" s="39">
        <f>$B$6/EXP(-(data!C5+data!$L$12)*A8)</f>
        <v>0.82000712920278007</v>
      </c>
      <c r="C8" s="39">
        <f>data!$L$4*B8</f>
        <v>820.00712920278011</v>
      </c>
      <c r="D8" s="41">
        <f>$D$6*EXP(data!C5*A8)</f>
        <v>199.86002450000001</v>
      </c>
      <c r="E8" s="34">
        <f t="shared" si="0"/>
        <v>1019.8671537027801</v>
      </c>
      <c r="G8" s="47">
        <v>2</v>
      </c>
      <c r="H8" s="39">
        <f>EXP(-data!C5 * G8)</f>
        <v>1.0007003676715749</v>
      </c>
      <c r="I8" s="39">
        <f>data!I65</f>
        <v>8.0358017835560069E-3</v>
      </c>
      <c r="J8" s="41">
        <f>E8-E7*data!$L$10</f>
        <v>1004.7278658118807</v>
      </c>
      <c r="K8" s="34">
        <f t="shared" ref="K8:K16" si="1" xml:space="preserve"> MAX($E$6,J8)</f>
        <v>1004.7278658118807</v>
      </c>
      <c r="L8" s="51">
        <f>(1-I7)</f>
        <v>0.99270380699137428</v>
      </c>
      <c r="M8" s="39">
        <f>H8*L8*(I8+(1-I8)*data!$L$11)*K8*((1-$B$3)*(1-data!$L$11)^G6)</f>
        <v>34.514556312482121</v>
      </c>
      <c r="O8" s="47">
        <v>2</v>
      </c>
      <c r="P8" s="39">
        <f>EXP(-data!C5 * O8)</f>
        <v>1.0007003676715749</v>
      </c>
      <c r="Q8" s="39">
        <f>data!I65</f>
        <v>8.0358017835560069E-3</v>
      </c>
      <c r="R8" s="41">
        <f>E8-E7*data!$L$10</f>
        <v>1004.7278658118807</v>
      </c>
      <c r="S8" s="34">
        <f>(1-Q7)</f>
        <v>0.99270380699137428</v>
      </c>
      <c r="T8" s="51">
        <f>P8*S8*(Q8+(1-Q8)*data!$L$11)*R8*((1-$B$3)*(1-data!$L$11)^O6)</f>
        <v>34.514556312482121</v>
      </c>
    </row>
    <row r="9" spans="1:20">
      <c r="A9" s="47">
        <v>3</v>
      </c>
      <c r="B9" s="39">
        <f>$B$6/EXP(-(data!C6+data!$L$12)*A9)</f>
        <v>0.83264158245890318</v>
      </c>
      <c r="C9" s="39">
        <f>data!$L$4*B9</f>
        <v>832.64158245890314</v>
      </c>
      <c r="D9" s="41">
        <f>$D$6*EXP(data!C6*A9)</f>
        <v>200.37823819000934</v>
      </c>
      <c r="E9" s="34">
        <f t="shared" si="0"/>
        <v>1033.0198206489124</v>
      </c>
      <c r="G9" s="47">
        <v>3</v>
      </c>
      <c r="H9" s="39">
        <f>EXP(-data!C6 * G9)</f>
        <v>0.99811237890189108</v>
      </c>
      <c r="I9" s="39">
        <f>data!I66</f>
        <v>8.7924391609313091E-3</v>
      </c>
      <c r="J9" s="41">
        <f>E9-E8*data!$L$10</f>
        <v>1017.7218133433707</v>
      </c>
      <c r="K9" s="34">
        <f t="shared" si="1"/>
        <v>1017.7218133433707</v>
      </c>
      <c r="L9" s="51">
        <f t="shared" ref="L9:L16" si="2">L8*(1-I8)</f>
        <v>0.98472663596861021</v>
      </c>
      <c r="M9" s="39">
        <f>H9*L9*(I9+(1-I9)*data!$L$11)*K9*((1-$B$3)*(1-data!$L$11)^G7)</f>
        <v>33.270620001552331</v>
      </c>
      <c r="O9" s="47">
        <v>3</v>
      </c>
      <c r="P9" s="39">
        <f>EXP(-data!C6 * O9)</f>
        <v>0.99811237890189108</v>
      </c>
      <c r="Q9" s="39">
        <f>data!I66</f>
        <v>8.7924391609313091E-3</v>
      </c>
      <c r="R9" s="41">
        <f>E9-E8*data!$L$10</f>
        <v>1017.7218133433707</v>
      </c>
      <c r="S9" s="34">
        <f>S8*(1-Q8)</f>
        <v>0.98472663596861021</v>
      </c>
      <c r="T9" s="51">
        <f>P9*S9*(Q9+(1-Q9)*data!$L$11)*R9*((1-$B$3)*(1-data!$L$11)^O7)</f>
        <v>33.270620001552331</v>
      </c>
    </row>
    <row r="10" spans="1:20">
      <c r="A10" s="47">
        <v>4</v>
      </c>
      <c r="B10" s="39">
        <f>$B$6/EXP(-(data!C7+data!$L$12)*A10)</f>
        <v>0.84824292985419936</v>
      </c>
      <c r="C10" s="39">
        <f>data!$L$4*B10</f>
        <v>848.24292985419936</v>
      </c>
      <c r="D10" s="41">
        <f>$D$6*EXP(data!C7*A10)</f>
        <v>201.5565221639402</v>
      </c>
      <c r="E10" s="34">
        <f t="shared" si="0"/>
        <v>1049.7994520181396</v>
      </c>
      <c r="G10" s="47">
        <v>4</v>
      </c>
      <c r="H10" s="39">
        <f>EXP(-data!C7 * G10)</f>
        <v>0.99227749046654934</v>
      </c>
      <c r="I10" s="39">
        <f>data!I67</f>
        <v>9.6788482834994083E-3</v>
      </c>
      <c r="J10" s="41">
        <f>E10-E9*data!$L$10</f>
        <v>1034.304154708406</v>
      </c>
      <c r="K10" s="34">
        <f t="shared" si="1"/>
        <v>1034.304154708406</v>
      </c>
      <c r="L10" s="51">
        <f t="shared" si="2"/>
        <v>0.97606848693170767</v>
      </c>
      <c r="M10" s="39">
        <f>H10*L10*(I10+(1-I10)*data!$L$11)*K10*((1-$B$3)*(1-data!$L$11)^G8)</f>
        <v>32.110309793838759</v>
      </c>
      <c r="O10" s="47">
        <v>4</v>
      </c>
      <c r="P10" s="39">
        <f>EXP(-data!C7 * O10)</f>
        <v>0.99227749046654934</v>
      </c>
      <c r="Q10" s="39">
        <f>data!I67</f>
        <v>9.6788482834994083E-3</v>
      </c>
      <c r="R10" s="41">
        <f>E10-E9*data!$L$10</f>
        <v>1034.304154708406</v>
      </c>
      <c r="S10" s="34">
        <f t="shared" ref="S10:S16" si="3">S9*(1-Q9)</f>
        <v>0.97606848693170767</v>
      </c>
      <c r="T10" s="51">
        <f>P10*S10*(Q10+(1-Q10)*data!$L$11)*R10*((1-$B$3)*(1-data!$L$11)^O8)</f>
        <v>32.110309793838759</v>
      </c>
    </row>
    <row r="11" spans="1:20">
      <c r="A11" s="47">
        <v>5</v>
      </c>
      <c r="B11" s="39">
        <f>$B$6/EXP(-(data!C8+data!$L$12)*A11)</f>
        <v>0.86699796990485067</v>
      </c>
      <c r="C11" s="39">
        <f>data!$L$4*B11</f>
        <v>866.99796990485072</v>
      </c>
      <c r="D11" s="41">
        <f>$D$6*EXP(data!C8*A11)</f>
        <v>203.41306224859591</v>
      </c>
      <c r="E11" s="34">
        <f t="shared" si="0"/>
        <v>1070.4110321534467</v>
      </c>
      <c r="G11" s="47">
        <v>5</v>
      </c>
      <c r="H11" s="39">
        <f>EXP(-data!C8 * G11)</f>
        <v>0.98322102715102566</v>
      </c>
      <c r="I11" s="39">
        <f>data!I68</f>
        <v>1.0679220808265999E-2</v>
      </c>
      <c r="J11" s="41">
        <f>E11-E10*data!$L$10</f>
        <v>1054.6640403731747</v>
      </c>
      <c r="K11" s="34">
        <f t="shared" si="1"/>
        <v>1054.6640403731747</v>
      </c>
      <c r="L11" s="51">
        <f t="shared" si="2"/>
        <v>0.9666212681323908</v>
      </c>
      <c r="M11" s="39">
        <f>H11*L11*(I11+(1-I11)*data!$L$11)*K11*((1-$B$3)*(1-data!$L$11)^G9)</f>
        <v>31.01309533069438</v>
      </c>
      <c r="O11" s="47">
        <v>5</v>
      </c>
      <c r="P11" s="39">
        <f>EXP(-data!C8 * O11)</f>
        <v>0.98322102715102566</v>
      </c>
      <c r="Q11" s="39">
        <f>data!I68</f>
        <v>1.0679220808265999E-2</v>
      </c>
      <c r="R11" s="41">
        <f>E11-E10*data!$L$10</f>
        <v>1054.6640403731747</v>
      </c>
      <c r="S11" s="34">
        <f t="shared" si="3"/>
        <v>0.9666212681323908</v>
      </c>
      <c r="T11" s="51">
        <f>P11*S11*(Q11+(1-Q11)*data!$L$11)*R11*((1-$B$3)*(1-data!$L$11)^O9)</f>
        <v>31.01309533069438</v>
      </c>
    </row>
    <row r="12" spans="1:20">
      <c r="A12" s="47">
        <v>6</v>
      </c>
      <c r="B12" s="39">
        <f>$B$6/EXP(-(data!C9+data!$L$12)*A12)</f>
        <v>0.88840497131460527</v>
      </c>
      <c r="C12" s="39">
        <f>data!$L$4*B12</f>
        <v>888.40497131460529</v>
      </c>
      <c r="D12" s="41">
        <f>$D$6*EXP(data!C9*A12)</f>
        <v>205.80498363055301</v>
      </c>
      <c r="E12" s="34">
        <f t="shared" si="0"/>
        <v>1094.2099549451582</v>
      </c>
      <c r="G12" s="47">
        <v>6</v>
      </c>
      <c r="H12" s="39">
        <f>EXP(-data!C9 * G12)</f>
        <v>0.9717937654951363</v>
      </c>
      <c r="I12" s="39">
        <f>data!I69</f>
        <v>1.1913508381277471E-2</v>
      </c>
      <c r="J12" s="41">
        <f>E12-E11*data!$L$10</f>
        <v>1078.1537894628566</v>
      </c>
      <c r="K12" s="34">
        <f t="shared" si="1"/>
        <v>1078.1537894628566</v>
      </c>
      <c r="L12" s="51">
        <f t="shared" si="2"/>
        <v>0.95629850617203893</v>
      </c>
      <c r="M12" s="39">
        <f>H12*L12*(I12+(1-I12)*data!$L$11)*K12*((1-$B$3)*(1-data!$L$11)^G10)</f>
        <v>30.024844658787714</v>
      </c>
      <c r="O12" s="47">
        <v>6</v>
      </c>
      <c r="P12" s="39">
        <f>EXP(-data!C9 * O12)</f>
        <v>0.9717937654951363</v>
      </c>
      <c r="Q12" s="39">
        <f>data!I69</f>
        <v>1.1913508381277471E-2</v>
      </c>
      <c r="R12" s="41">
        <f>E12-E11*data!$L$10</f>
        <v>1078.1537894628566</v>
      </c>
      <c r="S12" s="34">
        <f t="shared" si="3"/>
        <v>0.95629850617203893</v>
      </c>
      <c r="T12" s="51">
        <f>P12*S12*(Q12+(1-Q12)*data!$L$11)*R12*((1-$B$3)*(1-data!$L$11)^O10)</f>
        <v>30.024844658787714</v>
      </c>
    </row>
    <row r="13" spans="1:20">
      <c r="A13" s="47">
        <v>7</v>
      </c>
      <c r="B13" s="39">
        <f>$B$6/EXP(-(data!C10+data!$L$12)*A13)</f>
        <v>0.91253475461614164</v>
      </c>
      <c r="C13" s="39">
        <f>data!$L$4*B13</f>
        <v>912.53475461614164</v>
      </c>
      <c r="D13" s="41">
        <f>$D$6*EXP(data!C10*A13)</f>
        <v>208.72692288245241</v>
      </c>
      <c r="E13" s="34">
        <f t="shared" si="0"/>
        <v>1121.2616774985941</v>
      </c>
      <c r="G13" s="47">
        <v>7</v>
      </c>
      <c r="H13" s="39">
        <f>EXP(-data!C10 * G13)</f>
        <v>0.95818975931836481</v>
      </c>
      <c r="I13" s="39">
        <f>data!I70</f>
        <v>1.3052381115801315E-2</v>
      </c>
      <c r="J13" s="41">
        <f>E13-E12*data!$L$10</f>
        <v>1104.8485281744167</v>
      </c>
      <c r="K13" s="34">
        <f t="shared" si="1"/>
        <v>1104.8485281744167</v>
      </c>
      <c r="L13" s="51">
        <f t="shared" si="2"/>
        <v>0.9449056359037552</v>
      </c>
      <c r="M13" s="39">
        <f>H13*L13*(I13+(1-I13)*data!$L$11)*K13*((1-$B$3)*(1-data!$L$11)^G11)</f>
        <v>28.979768797401221</v>
      </c>
      <c r="O13" s="47">
        <v>7</v>
      </c>
      <c r="P13" s="39">
        <f>EXP(-data!C10 * O13)</f>
        <v>0.95818975931836481</v>
      </c>
      <c r="Q13" s="39">
        <f>data!I70</f>
        <v>1.3052381115801315E-2</v>
      </c>
      <c r="R13" s="41">
        <f>E13-E12*data!$L$10</f>
        <v>1104.8485281744167</v>
      </c>
      <c r="S13" s="34">
        <f t="shared" si="3"/>
        <v>0.9449056359037552</v>
      </c>
      <c r="T13" s="51">
        <f>P13*S13*(Q13+(1-Q13)*data!$L$11)*R13*((1-$B$3)*(1-data!$L$11)^O11)</f>
        <v>28.979768797401221</v>
      </c>
    </row>
    <row r="14" spans="1:20">
      <c r="A14" s="47">
        <v>8</v>
      </c>
      <c r="B14" s="39">
        <f>$B$6/EXP(-(data!C11+data!$L$12)*A14)</f>
        <v>0.93928605101351625</v>
      </c>
      <c r="C14" s="39">
        <f>data!$L$4*B14</f>
        <v>939.28605101351627</v>
      </c>
      <c r="D14" s="41">
        <f>$D$6*EXP(data!C11*A14)</f>
        <v>212.13438989680142</v>
      </c>
      <c r="E14" s="34">
        <f t="shared" si="0"/>
        <v>1151.4204409103177</v>
      </c>
      <c r="G14" s="47">
        <v>8</v>
      </c>
      <c r="H14" s="39">
        <f>EXP(-data!C11 * G14)</f>
        <v>0.94279857262792455</v>
      </c>
      <c r="I14" s="39">
        <f>data!I71</f>
        <v>1.4569521071908786E-2</v>
      </c>
      <c r="J14" s="41">
        <f>E14-E13*data!$L$10</f>
        <v>1134.6015157478387</v>
      </c>
      <c r="K14" s="34">
        <f t="shared" si="1"/>
        <v>1134.6015157478387</v>
      </c>
      <c r="L14" s="51">
        <f t="shared" si="2"/>
        <v>0.93257236742547078</v>
      </c>
      <c r="M14" s="39">
        <f>H14*L14*(I14+(1-I14)*data!$L$11)*K14*((1-$B$3)*(1-data!$L$11)^G12)</f>
        <v>28.089091202803189</v>
      </c>
      <c r="O14" s="47">
        <v>8</v>
      </c>
      <c r="P14" s="39">
        <f>EXP(-data!C11 * O14)</f>
        <v>0.94279857262792455</v>
      </c>
      <c r="Q14" s="39">
        <f>data!I71</f>
        <v>1.4569521071908786E-2</v>
      </c>
      <c r="R14" s="41">
        <f>E14-E13*data!$L$10</f>
        <v>1134.6015157478387</v>
      </c>
      <c r="S14" s="34">
        <f t="shared" si="3"/>
        <v>0.93257236742547078</v>
      </c>
      <c r="T14" s="51">
        <f>P14*S14*(Q14+(1-Q14)*data!$L$11)*R14*((1-$B$3)*(1-data!$L$11)^O12)</f>
        <v>28.089091202803189</v>
      </c>
    </row>
    <row r="15" spans="1:20">
      <c r="A15" s="47">
        <v>9</v>
      </c>
      <c r="B15" s="39">
        <f>$B$6/EXP(-(data!C12+data!$L$12)*A15)</f>
        <v>0.96887747509637423</v>
      </c>
      <c r="C15" s="39">
        <f>data!$L$4*B15</f>
        <v>968.87747509637427</v>
      </c>
      <c r="D15" s="41">
        <f>$D$6*EXP(data!C12*A15)</f>
        <v>216.05594235766836</v>
      </c>
      <c r="E15" s="34">
        <f t="shared" si="0"/>
        <v>1184.9334174540427</v>
      </c>
      <c r="G15" s="47">
        <v>9</v>
      </c>
      <c r="H15" s="39">
        <f>EXP(-data!C12 * G15)</f>
        <v>0.92568618024359339</v>
      </c>
      <c r="I15" s="39">
        <f>data!I72</f>
        <v>1.5431844646490833E-2</v>
      </c>
      <c r="J15" s="41">
        <f>E15-E14*data!$L$10</f>
        <v>1167.6621108403879</v>
      </c>
      <c r="K15" s="34">
        <f t="shared" si="1"/>
        <v>1167.6621108403879</v>
      </c>
      <c r="L15" s="51">
        <f t="shared" si="2"/>
        <v>0.91898523466718551</v>
      </c>
      <c r="M15" s="39">
        <f>H15*L15*(I15+(1-I15)*data!$L$11)*K15*((1-$B$3)*(1-data!$L$11)^G13)</f>
        <v>26.91183955464254</v>
      </c>
      <c r="O15" s="47">
        <v>9</v>
      </c>
      <c r="P15" s="39">
        <f>EXP(-data!C12 * O15)</f>
        <v>0.92568618024359339</v>
      </c>
      <c r="Q15" s="39">
        <f>data!I72</f>
        <v>1.5431844646490833E-2</v>
      </c>
      <c r="R15" s="41">
        <f>E15-E14*data!$L$10</f>
        <v>1167.6621108403879</v>
      </c>
      <c r="S15" s="34">
        <f t="shared" si="3"/>
        <v>0.91898523466718551</v>
      </c>
      <c r="T15" s="51">
        <f>P15*S15*(Q15+(1-Q15)*data!$L$11)*R15*((1-$B$3)*(1-data!$L$11)^O13)</f>
        <v>26.91183955464254</v>
      </c>
    </row>
    <row r="16" spans="1:20">
      <c r="A16" s="48">
        <v>10</v>
      </c>
      <c r="B16" s="40">
        <f>$B$6/EXP(-(data!C13+data!$L$12)*A16)</f>
        <v>1</v>
      </c>
      <c r="C16" s="40">
        <f>data!$L$4*B16</f>
        <v>1000</v>
      </c>
      <c r="D16" s="42">
        <f>$D$6*EXP(data!C13*A16)</f>
        <v>220.18184469018664</v>
      </c>
      <c r="E16" s="37">
        <f t="shared" si="0"/>
        <v>1220.1818446901866</v>
      </c>
      <c r="F16" s="29"/>
      <c r="G16" s="48">
        <v>10</v>
      </c>
      <c r="H16" s="40">
        <f>EXP(-data!C13 * G16)</f>
        <v>0.90834010534072829</v>
      </c>
      <c r="I16" s="40">
        <v>1</v>
      </c>
      <c r="J16" s="42">
        <f>E16-E15*data!$L$10</f>
        <v>1202.4078434283761</v>
      </c>
      <c r="K16" s="37">
        <f t="shared" si="1"/>
        <v>1202.4078434283761</v>
      </c>
      <c r="L16" s="52">
        <f t="shared" si="2"/>
        <v>0.90480359729338256</v>
      </c>
      <c r="M16" s="40">
        <f>H16*L16*(I16+(1-I16)*data!$L$11)*K16*((1-$B$3)*(1-data!$L$11)^G14)</f>
        <v>393.36408153713813</v>
      </c>
      <c r="O16" s="48">
        <v>10</v>
      </c>
      <c r="P16" s="40">
        <f>EXP(-data!C13 * O16)</f>
        <v>0.90834010534072829</v>
      </c>
      <c r="Q16" s="40">
        <v>1</v>
      </c>
      <c r="R16" s="42">
        <f>E16-E15*data!$L$10</f>
        <v>1202.4078434283761</v>
      </c>
      <c r="S16" s="37">
        <f t="shared" si="3"/>
        <v>0.90480359729338256</v>
      </c>
      <c r="T16" s="52">
        <f>P16*S16*(Q16+(1-Q16)*data!$L$11)*R16*((1-$B$3)*(1-data!$L$11)^O14)</f>
        <v>393.36408153713813</v>
      </c>
    </row>
    <row r="20" spans="1:16">
      <c r="A20" s="53" t="s">
        <v>22</v>
      </c>
      <c r="B20" s="44">
        <f>E6</f>
        <v>999.99999999999989</v>
      </c>
      <c r="G20" s="53" t="s">
        <v>28</v>
      </c>
      <c r="H20" s="44">
        <f>SUM(M7:M16)</f>
        <v>1043.032344342068</v>
      </c>
      <c r="O20" s="53" t="s">
        <v>28</v>
      </c>
      <c r="P20" s="44">
        <f>SUM(T7:T16)</f>
        <v>1040.7195222912303</v>
      </c>
    </row>
    <row r="21" spans="1:16">
      <c r="G21" s="54" t="s">
        <v>29</v>
      </c>
      <c r="H21" s="37">
        <f>SUMPRODUCT(G7:G16,M7:M16)/H20</f>
        <v>5.4079525018846519</v>
      </c>
      <c r="O21" s="54" t="s">
        <v>29</v>
      </c>
      <c r="P21" s="37">
        <f>SUMPRODUCT(O7:O16,T7:T16)/P20</f>
        <v>5.4177484262687354</v>
      </c>
    </row>
    <row r="22" spans="1:16">
      <c r="G22" s="33"/>
      <c r="H22" s="33"/>
    </row>
    <row r="23" spans="1:16">
      <c r="G23" s="53" t="s">
        <v>39</v>
      </c>
      <c r="H23" s="44">
        <f>B20-H20</f>
        <v>-43.032344342068086</v>
      </c>
      <c r="O23" s="53" t="s">
        <v>39</v>
      </c>
      <c r="P23" s="44">
        <f>B20-P20</f>
        <v>-40.719522291230419</v>
      </c>
    </row>
    <row r="24" spans="1:16">
      <c r="G24" s="54" t="s">
        <v>38</v>
      </c>
      <c r="H24" s="37">
        <f>'Basic Case'!H21-'Lapse mass'!H23</f>
        <v>-24.559195871561087</v>
      </c>
      <c r="O24" s="54" t="s">
        <v>38</v>
      </c>
      <c r="P24" s="37">
        <f>'Basic Case'!P21-'Lapse mass'!P23</f>
        <v>-26.546401169375258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0C21-F161-42B4-B6F5-F824B6A69487}">
  <dimension ref="A1:T22"/>
  <sheetViews>
    <sheetView topLeftCell="A2" workbookViewId="0">
      <selection activeCell="H21" sqref="H21"/>
    </sheetView>
  </sheetViews>
  <sheetFormatPr defaultColWidth="8.85546875" defaultRowHeight="15"/>
  <sheetData>
    <row r="1" spans="1:20" ht="21">
      <c r="A1" s="50" t="s">
        <v>48</v>
      </c>
      <c r="G1" s="50" t="s">
        <v>55</v>
      </c>
      <c r="H1" s="49"/>
      <c r="O1" s="50" t="s">
        <v>56</v>
      </c>
    </row>
    <row r="3" spans="1:20">
      <c r="A3" s="43" t="s">
        <v>13</v>
      </c>
      <c r="B3" s="45" t="s">
        <v>30</v>
      </c>
      <c r="C3" s="45" t="s">
        <v>14</v>
      </c>
      <c r="D3" s="45" t="s">
        <v>15</v>
      </c>
      <c r="E3" s="46" t="s">
        <v>21</v>
      </c>
      <c r="G3" s="43" t="s">
        <v>13</v>
      </c>
      <c r="H3" s="45" t="s">
        <v>23</v>
      </c>
      <c r="I3" s="45" t="s">
        <v>24</v>
      </c>
      <c r="J3" s="45" t="s">
        <v>32</v>
      </c>
      <c r="K3" s="46" t="s">
        <v>25</v>
      </c>
      <c r="L3" s="45" t="s">
        <v>26</v>
      </c>
      <c r="M3" s="45" t="s">
        <v>27</v>
      </c>
      <c r="O3" s="43" t="s">
        <v>13</v>
      </c>
      <c r="P3" s="45" t="s">
        <v>23</v>
      </c>
      <c r="Q3" s="45" t="s">
        <v>24</v>
      </c>
      <c r="R3" s="45" t="s">
        <v>25</v>
      </c>
      <c r="S3" s="46" t="s">
        <v>26</v>
      </c>
      <c r="T3" s="45" t="s">
        <v>27</v>
      </c>
    </row>
    <row r="4" spans="1:20">
      <c r="A4" s="47">
        <v>0</v>
      </c>
      <c r="B4" s="39">
        <f>EXP(-(data!C13 +data!L12)*'Basic Case'!A14)</f>
        <v>0.79999999999999993</v>
      </c>
      <c r="C4" s="39">
        <f>data!$L$4*'Basic Case'!B4</f>
        <v>799.99999999999989</v>
      </c>
      <c r="D4" s="39">
        <f>data!L6</f>
        <v>200</v>
      </c>
      <c r="E4" s="34">
        <f>C4+D4</f>
        <v>999.99999999999989</v>
      </c>
      <c r="G4" s="47">
        <v>0</v>
      </c>
      <c r="H4" s="39">
        <v>1</v>
      </c>
      <c r="I4" s="39"/>
      <c r="J4" s="39"/>
      <c r="K4" s="34">
        <v>1000</v>
      </c>
      <c r="L4" s="51"/>
      <c r="M4" s="39"/>
      <c r="O4" s="47">
        <v>0</v>
      </c>
      <c r="P4" s="39">
        <v>1</v>
      </c>
      <c r="Q4" s="39"/>
      <c r="R4" s="39">
        <f>E4</f>
        <v>999.99999999999989</v>
      </c>
      <c r="S4" s="34"/>
      <c r="T4" s="51"/>
    </row>
    <row r="5" spans="1:20">
      <c r="A5" s="47">
        <v>1</v>
      </c>
      <c r="B5" s="39">
        <f>$B$4/EXP(-(data!C4+data!$L$12)*A5)</f>
        <v>0.8094718593932918</v>
      </c>
      <c r="C5" s="39">
        <f>data!$L$4*'Basic Case'!B5</f>
        <v>809.47185939329177</v>
      </c>
      <c r="D5" s="41">
        <f>$D$4*EXP(data!C4*'Basic Case'!A5)</f>
        <v>199.81399999999999</v>
      </c>
      <c r="E5" s="34">
        <f t="shared" ref="E5:E14" si="0">C5+D5</f>
        <v>1009.2858593932917</v>
      </c>
      <c r="G5" s="47">
        <v>1</v>
      </c>
      <c r="H5" s="39">
        <f>EXP(-data!C4 * G5)</f>
        <v>1.0009308657051057</v>
      </c>
      <c r="I5" s="39">
        <f>data!I64 + 0.0015</f>
        <v>8.7961930086257172E-3</v>
      </c>
      <c r="J5" s="41">
        <f>E5-E4*data!$L$10</f>
        <v>994.28585939329173</v>
      </c>
      <c r="K5" s="34">
        <f t="shared" ref="K5:K14" si="1" xml:space="preserve"> MAX($K$4,J5)</f>
        <v>1000</v>
      </c>
      <c r="L5" s="51">
        <v>1</v>
      </c>
      <c r="M5" s="39">
        <f>H5*L5*(I5+(1-I5)*data!$L$11)*K5*((1-data!$L$11)^G4)</f>
        <v>58.410705314136578</v>
      </c>
      <c r="O5" s="47">
        <v>1</v>
      </c>
      <c r="P5" s="39">
        <f>EXP(-data!C4 * 'Basic Case'!O5)</f>
        <v>1.0009308657051057</v>
      </c>
      <c r="Q5" s="39">
        <f>data!I64 + 0.0015</f>
        <v>8.7961930086257172E-3</v>
      </c>
      <c r="R5" s="41">
        <f>E5-E4*data!$L$10</f>
        <v>994.28585939329173</v>
      </c>
      <c r="S5" s="34">
        <v>1</v>
      </c>
      <c r="T5" s="51">
        <f>P5*S5*(Q5+(1-Q5)*data!$L$11)*R5*((1-data!$L$11)^O4)</f>
        <v>58.076938331034597</v>
      </c>
    </row>
    <row r="6" spans="1:20">
      <c r="A6" s="47">
        <v>2</v>
      </c>
      <c r="B6" s="39">
        <f>$B$4/EXP(-(data!C5+data!$L$12)*A6)</f>
        <v>0.82000712920278007</v>
      </c>
      <c r="C6" s="39">
        <f>data!$L$4*'Basic Case'!B6</f>
        <v>820.00712920278011</v>
      </c>
      <c r="D6" s="41">
        <f>$D$4*EXP(data!C5*'Basic Case'!A6)</f>
        <v>199.86002450000001</v>
      </c>
      <c r="E6" s="34">
        <f t="shared" si="0"/>
        <v>1019.8671537027801</v>
      </c>
      <c r="G6" s="47">
        <v>2</v>
      </c>
      <c r="H6" s="39">
        <f>EXP(-data!C5 * G6)</f>
        <v>1.0007003676715749</v>
      </c>
      <c r="I6" s="39">
        <f>data!I65</f>
        <v>8.0358017835560069E-3</v>
      </c>
      <c r="J6" s="41">
        <f>E6-E5*data!$L$10</f>
        <v>1004.7278658118807</v>
      </c>
      <c r="K6" s="34">
        <f t="shared" si="1"/>
        <v>1004.7278658118807</v>
      </c>
      <c r="L6" s="51">
        <f>(1-I5)</f>
        <v>0.99120380699137434</v>
      </c>
      <c r="M6" s="39">
        <f>H6*L6*(I6+(1-I6)*data!$L$11)*K6*((1-data!$L$11)^G5)</f>
        <v>54.565472943658754</v>
      </c>
      <c r="O6" s="47">
        <v>2</v>
      </c>
      <c r="P6" s="39">
        <f>EXP(-data!C5 * 'Basic Case'!O6)</f>
        <v>1.0007003676715749</v>
      </c>
      <c r="Q6" s="39">
        <f>data!I65</f>
        <v>8.0358017835560069E-3</v>
      </c>
      <c r="R6" s="41">
        <f>E6-E5*data!$L$10</f>
        <v>1004.7278658118807</v>
      </c>
      <c r="S6" s="34">
        <f>(1-Q5)</f>
        <v>0.99120380699137434</v>
      </c>
      <c r="T6" s="51">
        <f>P6*S6*(Q6+(1-Q6)*data!$L$11)*R6*((1-data!$L$11)^O5)</f>
        <v>54.565472943658754</v>
      </c>
    </row>
    <row r="7" spans="1:20">
      <c r="A7" s="47">
        <v>3</v>
      </c>
      <c r="B7" s="39">
        <f>$B$4/EXP(-(data!C6+data!$L$12)*A7)</f>
        <v>0.83264158245890318</v>
      </c>
      <c r="C7" s="39">
        <f>data!$L$4*'Basic Case'!B7</f>
        <v>832.64158245890314</v>
      </c>
      <c r="D7" s="41">
        <f>$D$4*EXP(data!C6*'Basic Case'!A7)</f>
        <v>200.37823819000934</v>
      </c>
      <c r="E7" s="34">
        <f t="shared" si="0"/>
        <v>1033.0198206489124</v>
      </c>
      <c r="G7" s="47">
        <v>3</v>
      </c>
      <c r="H7" s="39">
        <f>EXP(-data!C6 * G7)</f>
        <v>0.99811237890189108</v>
      </c>
      <c r="I7" s="39">
        <f>data!I66</f>
        <v>8.7924391609313091E-3</v>
      </c>
      <c r="J7" s="41">
        <f>E7-E6*data!$L$10</f>
        <v>1017.7218133433707</v>
      </c>
      <c r="K7" s="34">
        <f t="shared" si="1"/>
        <v>1017.7218133433707</v>
      </c>
      <c r="L7" s="51">
        <f t="shared" ref="L7:L14" si="2">L6*(1-I6)</f>
        <v>0.98323868967128558</v>
      </c>
      <c r="M7" s="39">
        <f>H7*L7*(I7+(1-I7)*data!$L$11)*K7*((1-data!$L$11)^G6)</f>
        <v>52.598883180685995</v>
      </c>
      <c r="O7" s="47">
        <v>3</v>
      </c>
      <c r="P7" s="39">
        <f>EXP(-data!C6 * 'Basic Case'!O7)</f>
        <v>0.99811237890189108</v>
      </c>
      <c r="Q7" s="39">
        <f>data!I66</f>
        <v>8.7924391609313091E-3</v>
      </c>
      <c r="R7" s="41">
        <f>E7-E6*data!$L$10</f>
        <v>1017.7218133433707</v>
      </c>
      <c r="S7" s="34">
        <f t="shared" ref="S7:S14" si="3">S6*(1-Q6)</f>
        <v>0.98323868967128558</v>
      </c>
      <c r="T7" s="51">
        <f>P7*S7*(Q7+(1-Q7)*data!$L$11)*R7*((1-data!$L$11)^O6)</f>
        <v>52.598883180685995</v>
      </c>
    </row>
    <row r="8" spans="1:20">
      <c r="A8" s="47">
        <v>4</v>
      </c>
      <c r="B8" s="39">
        <f>$B$4/EXP(-(data!C7+data!$L$12)*A8)</f>
        <v>0.84824292985419936</v>
      </c>
      <c r="C8" s="39">
        <f>data!$L$4*'Basic Case'!B8</f>
        <v>848.24292985419936</v>
      </c>
      <c r="D8" s="41">
        <f>$D$4*EXP(data!C7*'Basic Case'!A8)</f>
        <v>201.5565221639402</v>
      </c>
      <c r="E8" s="34">
        <f t="shared" si="0"/>
        <v>1049.7994520181396</v>
      </c>
      <c r="G8" s="47">
        <v>4</v>
      </c>
      <c r="H8" s="39">
        <f>EXP(-data!C7 * G8)</f>
        <v>0.99227749046654934</v>
      </c>
      <c r="I8" s="39">
        <f>data!I67</f>
        <v>9.6788482834994083E-3</v>
      </c>
      <c r="J8" s="41">
        <f>E8-E7*data!$L$10</f>
        <v>1034.304154708406</v>
      </c>
      <c r="K8" s="34">
        <f t="shared" si="1"/>
        <v>1034.304154708406</v>
      </c>
      <c r="L8" s="51">
        <f t="shared" si="2"/>
        <v>0.97459362331167698</v>
      </c>
      <c r="M8" s="39">
        <f>H8*L8*(I8+(1-I8)*data!$L$11)*K8*((1-data!$L$11)^G7)</f>
        <v>50.764501342714944</v>
      </c>
      <c r="O8" s="47">
        <v>4</v>
      </c>
      <c r="P8" s="39">
        <f>EXP(-data!C7 * 'Basic Case'!O8)</f>
        <v>0.99227749046654934</v>
      </c>
      <c r="Q8" s="39">
        <f>data!I67</f>
        <v>9.6788482834994083E-3</v>
      </c>
      <c r="R8" s="41">
        <f>E8-E7*data!$L$10</f>
        <v>1034.304154708406</v>
      </c>
      <c r="S8" s="34">
        <f t="shared" si="3"/>
        <v>0.97459362331167698</v>
      </c>
      <c r="T8" s="51">
        <f>P8*S8*(Q8+(1-Q8)*data!$L$11)*R8*((1-data!$L$11)^O7)</f>
        <v>50.764501342714944</v>
      </c>
    </row>
    <row r="9" spans="1:20">
      <c r="A9" s="47">
        <v>5</v>
      </c>
      <c r="B9" s="39">
        <f>$B$4/EXP(-(data!C8+data!$L$12)*A9)</f>
        <v>0.86699796990485067</v>
      </c>
      <c r="C9" s="39">
        <f>data!$L$4*'Basic Case'!B9</f>
        <v>866.99796990485072</v>
      </c>
      <c r="D9" s="41">
        <f>$D$4*EXP(data!C8*'Basic Case'!A9)</f>
        <v>203.41306224859591</v>
      </c>
      <c r="E9" s="34">
        <f t="shared" si="0"/>
        <v>1070.4110321534467</v>
      </c>
      <c r="G9" s="47">
        <v>5</v>
      </c>
      <c r="H9" s="39">
        <f>EXP(-data!C8 * G9)</f>
        <v>0.98322102715102566</v>
      </c>
      <c r="I9" s="39">
        <f>data!I68</f>
        <v>1.0679220808265999E-2</v>
      </c>
      <c r="J9" s="41">
        <f>E9-E8*data!$L$10</f>
        <v>1054.6640403731747</v>
      </c>
      <c r="K9" s="34">
        <f xml:space="preserve"> MAX($K$4,J9)</f>
        <v>1054.6640403731747</v>
      </c>
      <c r="L9" s="51">
        <f t="shared" si="2"/>
        <v>0.96516067949357731</v>
      </c>
      <c r="M9" s="39">
        <f>H9*L9*(I9+(1-I9)*data!$L$11)*K9*((1-data!$L$11)^G8)</f>
        <v>49.029870146530534</v>
      </c>
      <c r="O9" s="47">
        <v>5</v>
      </c>
      <c r="P9" s="39">
        <f>EXP(-data!C8 * 'Basic Case'!O9)</f>
        <v>0.98322102715102566</v>
      </c>
      <c r="Q9" s="39">
        <f>data!I68</f>
        <v>1.0679220808265999E-2</v>
      </c>
      <c r="R9" s="41">
        <f>E9-E8*data!$L$10</f>
        <v>1054.6640403731747</v>
      </c>
      <c r="S9" s="34">
        <f t="shared" si="3"/>
        <v>0.96516067949357731</v>
      </c>
      <c r="T9" s="51">
        <f>P9*S9*(Q9+(1-Q9)*data!$L$11)*R9*((1-data!$L$11)^O8)</f>
        <v>49.029870146530534</v>
      </c>
    </row>
    <row r="10" spans="1:20">
      <c r="A10" s="47">
        <v>6</v>
      </c>
      <c r="B10" s="39">
        <f>$B$4/EXP(-(data!C9+data!$L$12)*A10)</f>
        <v>0.88840497131460527</v>
      </c>
      <c r="C10" s="39">
        <f>data!$L$4*'Basic Case'!B10</f>
        <v>888.40497131460529</v>
      </c>
      <c r="D10" s="41">
        <f>$D$4*EXP(data!C9*'Basic Case'!A10)</f>
        <v>205.80498363055301</v>
      </c>
      <c r="E10" s="34">
        <f t="shared" si="0"/>
        <v>1094.2099549451582</v>
      </c>
      <c r="G10" s="47">
        <v>6</v>
      </c>
      <c r="H10" s="39">
        <f>EXP(-data!C9 * G10)</f>
        <v>0.9717937654951363</v>
      </c>
      <c r="I10" s="39">
        <f>data!I69</f>
        <v>1.1913508381277471E-2</v>
      </c>
      <c r="J10" s="41">
        <f>E10-E9*data!$L$10</f>
        <v>1078.1537894628566</v>
      </c>
      <c r="K10" s="34">
        <f t="shared" si="1"/>
        <v>1078.1537894628566</v>
      </c>
      <c r="L10" s="51">
        <f t="shared" si="2"/>
        <v>0.9548535154818093</v>
      </c>
      <c r="M10" s="39">
        <f>H10*L10*(I10+(1-I10)*data!$L$11)*K10*((1-data!$L$11)^G9)</f>
        <v>47.467504262082684</v>
      </c>
      <c r="O10" s="47">
        <v>6</v>
      </c>
      <c r="P10" s="39">
        <f>EXP(-data!C9 * 'Basic Case'!O10)</f>
        <v>0.9717937654951363</v>
      </c>
      <c r="Q10" s="39">
        <f>data!I69</f>
        <v>1.1913508381277471E-2</v>
      </c>
      <c r="R10" s="41">
        <f>E10-E9*data!$L$10</f>
        <v>1078.1537894628566</v>
      </c>
      <c r="S10" s="34">
        <f t="shared" si="3"/>
        <v>0.9548535154818093</v>
      </c>
      <c r="T10" s="51">
        <f>P10*S10*(Q10+(1-Q10)*data!$L$11)*R10*((1-data!$L$11)^O9)</f>
        <v>47.467504262082684</v>
      </c>
    </row>
    <row r="11" spans="1:20">
      <c r="A11" s="47">
        <v>7</v>
      </c>
      <c r="B11" s="39">
        <f>$B$4/EXP(-(data!C10+data!$L$12)*A11)</f>
        <v>0.91253475461614164</v>
      </c>
      <c r="C11" s="39">
        <f>data!$L$4*'Basic Case'!B11</f>
        <v>912.53475461614164</v>
      </c>
      <c r="D11" s="41">
        <f>$D$4*EXP(data!C10*'Basic Case'!A11)</f>
        <v>208.72692288245241</v>
      </c>
      <c r="E11" s="34">
        <f t="shared" si="0"/>
        <v>1121.2616774985941</v>
      </c>
      <c r="G11" s="47">
        <v>7</v>
      </c>
      <c r="H11" s="39">
        <f>EXP(-data!C10 * G11)</f>
        <v>0.95818975931836481</v>
      </c>
      <c r="I11" s="39">
        <f>data!I70</f>
        <v>1.3052381115801315E-2</v>
      </c>
      <c r="J11" s="41">
        <f>E11-E10*data!$L$10</f>
        <v>1104.8485281744167</v>
      </c>
      <c r="K11" s="34">
        <f t="shared" si="1"/>
        <v>1104.8485281744167</v>
      </c>
      <c r="L11" s="51">
        <f t="shared" si="2"/>
        <v>0.94347786012222445</v>
      </c>
      <c r="M11" s="39">
        <f>H11*L11*(I11+(1-I11)*data!$L$11)*K11*((1-data!$L$11)^G10)</f>
        <v>45.815301112713719</v>
      </c>
      <c r="O11" s="47">
        <v>7</v>
      </c>
      <c r="P11" s="39">
        <f>EXP(-data!C10 * 'Basic Case'!O11)</f>
        <v>0.95818975931836481</v>
      </c>
      <c r="Q11" s="39">
        <f>data!I70</f>
        <v>1.3052381115801315E-2</v>
      </c>
      <c r="R11" s="41">
        <f>E11-E10*data!$L$10</f>
        <v>1104.8485281744167</v>
      </c>
      <c r="S11" s="34">
        <f t="shared" si="3"/>
        <v>0.94347786012222445</v>
      </c>
      <c r="T11" s="51">
        <f>P11*S11*(Q11+(1-Q11)*data!$L$11)*R11*((1-data!$L$11)^O10)</f>
        <v>45.815301112713719</v>
      </c>
    </row>
    <row r="12" spans="1:20">
      <c r="A12" s="47">
        <v>8</v>
      </c>
      <c r="B12" s="39">
        <f>$B$4/EXP(-(data!C11+data!$L$12)*A12)</f>
        <v>0.93928605101351625</v>
      </c>
      <c r="C12" s="39">
        <f>data!$L$4*'Basic Case'!B12</f>
        <v>939.28605101351627</v>
      </c>
      <c r="D12" s="41">
        <f>$D$4*EXP(data!C11*'Basic Case'!A12)</f>
        <v>212.13438989680142</v>
      </c>
      <c r="E12" s="34">
        <f t="shared" si="0"/>
        <v>1151.4204409103177</v>
      </c>
      <c r="G12" s="47">
        <v>8</v>
      </c>
      <c r="H12" s="39">
        <f>EXP(-data!C11 * G12)</f>
        <v>0.94279857262792455</v>
      </c>
      <c r="I12" s="39">
        <f>data!I71</f>
        <v>1.4569521071908786E-2</v>
      </c>
      <c r="J12" s="41">
        <f>E12-E11*data!$L$10</f>
        <v>1134.6015157478387</v>
      </c>
      <c r="K12" s="34">
        <f t="shared" si="1"/>
        <v>1134.6015157478387</v>
      </c>
      <c r="L12" s="51">
        <f t="shared" si="2"/>
        <v>0.93116322751758851</v>
      </c>
      <c r="M12" s="39">
        <f>H12*L12*(I12+(1-I12)*data!$L$11)*K12*((1-data!$L$11)^G11)</f>
        <v>44.40719249472793</v>
      </c>
      <c r="O12" s="47">
        <v>8</v>
      </c>
      <c r="P12" s="39">
        <f>EXP(-data!C11 * 'Basic Case'!O12)</f>
        <v>0.94279857262792455</v>
      </c>
      <c r="Q12" s="39">
        <f>data!I71</f>
        <v>1.4569521071908786E-2</v>
      </c>
      <c r="R12" s="41">
        <f>E12-E11*data!$L$10</f>
        <v>1134.6015157478387</v>
      </c>
      <c r="S12" s="34">
        <f t="shared" si="3"/>
        <v>0.93116322751758851</v>
      </c>
      <c r="T12" s="51">
        <f>P12*S12*(Q12+(1-Q12)*data!$L$11)*R12*((1-data!$L$11)^O11)</f>
        <v>44.40719249472793</v>
      </c>
    </row>
    <row r="13" spans="1:20">
      <c r="A13" s="47">
        <v>9</v>
      </c>
      <c r="B13" s="39">
        <f>$B$4/EXP(-(data!C12+data!$L$12)*A13)</f>
        <v>0.96887747509637423</v>
      </c>
      <c r="C13" s="39">
        <f>data!$L$4*'Basic Case'!B13</f>
        <v>968.87747509637427</v>
      </c>
      <c r="D13" s="41">
        <f>$D$4*EXP(data!C12*'Basic Case'!A13)</f>
        <v>216.05594235766836</v>
      </c>
      <c r="E13" s="34">
        <f t="shared" si="0"/>
        <v>1184.9334174540427</v>
      </c>
      <c r="G13" s="47">
        <v>9</v>
      </c>
      <c r="H13" s="39">
        <f>EXP(-data!C12 * G13)</f>
        <v>0.92568618024359339</v>
      </c>
      <c r="I13" s="39">
        <f>data!I72</f>
        <v>1.5431844646490833E-2</v>
      </c>
      <c r="J13" s="41">
        <f>E13-E12*data!$L$10</f>
        <v>1167.6621108403879</v>
      </c>
      <c r="K13" s="34">
        <f t="shared" si="1"/>
        <v>1167.6621108403879</v>
      </c>
      <c r="L13" s="51">
        <f t="shared" si="2"/>
        <v>0.91759662525288443</v>
      </c>
      <c r="M13" s="39">
        <f>H13*L13*(I13+(1-I13)*data!$L$11)*K13*((1-data!$L$11)^G12)</f>
        <v>42.546027241030139</v>
      </c>
      <c r="O13" s="47">
        <v>9</v>
      </c>
      <c r="P13" s="39">
        <f>EXP(-data!C12 * 'Basic Case'!O13)</f>
        <v>0.92568618024359339</v>
      </c>
      <c r="Q13" s="39">
        <f>data!I72</f>
        <v>1.5431844646490833E-2</v>
      </c>
      <c r="R13" s="41">
        <f>E13-E12*data!$L$10</f>
        <v>1167.6621108403879</v>
      </c>
      <c r="S13" s="34">
        <f t="shared" si="3"/>
        <v>0.91759662525288443</v>
      </c>
      <c r="T13" s="51">
        <f>P13*S13*(Q13+(1-Q13)*data!$L$11)*R13*((1-data!$L$11)^O12)</f>
        <v>42.546027241030139</v>
      </c>
    </row>
    <row r="14" spans="1:20">
      <c r="A14" s="48">
        <v>10</v>
      </c>
      <c r="B14" s="40">
        <f>$B$4/EXP(-(data!C13+data!$L$12)*A14)</f>
        <v>1</v>
      </c>
      <c r="C14" s="40">
        <f>data!$L$4*'Basic Case'!B14</f>
        <v>1000</v>
      </c>
      <c r="D14" s="42">
        <f>$D$4*EXP(data!C13*'Basic Case'!A14)</f>
        <v>220.18184469018664</v>
      </c>
      <c r="E14" s="37">
        <f t="shared" si="0"/>
        <v>1220.1818446901866</v>
      </c>
      <c r="F14" s="29"/>
      <c r="G14" s="48">
        <v>10</v>
      </c>
      <c r="H14" s="40">
        <f>EXP(-data!C13 * G14)</f>
        <v>0.90834010534072829</v>
      </c>
      <c r="I14" s="40">
        <v>1</v>
      </c>
      <c r="J14" s="42">
        <f>E14-E13*data!$L$10</f>
        <v>1202.4078434283761</v>
      </c>
      <c r="K14" s="37">
        <f t="shared" si="1"/>
        <v>1202.4078434283761</v>
      </c>
      <c r="L14" s="52">
        <f t="shared" si="2"/>
        <v>0.90343641668383767</v>
      </c>
      <c r="M14" s="40">
        <f>H14*L14*(I14+(1-I14)*data!$L$11)*K14*((1-data!$L$11)^G13)</f>
        <v>621.88535624777649</v>
      </c>
      <c r="O14" s="48">
        <v>10</v>
      </c>
      <c r="P14" s="40">
        <f>EXP(-data!C13 * 'Basic Case'!O14)</f>
        <v>0.90834010534072829</v>
      </c>
      <c r="Q14" s="40">
        <v>1</v>
      </c>
      <c r="R14" s="42">
        <f>E14-E13*data!$L$10</f>
        <v>1202.4078434283761</v>
      </c>
      <c r="S14" s="37">
        <f t="shared" si="3"/>
        <v>0.90343641668383767</v>
      </c>
      <c r="T14" s="52">
        <f>P14*S14*(Q14+(1-Q14)*data!$L$11)*R14*((1-data!$L$11)^O13)</f>
        <v>621.88535624777649</v>
      </c>
    </row>
    <row r="18" spans="1:16">
      <c r="A18" s="53" t="s">
        <v>22</v>
      </c>
      <c r="B18" s="44">
        <f>E4</f>
        <v>999.99999999999989</v>
      </c>
      <c r="G18" s="53" t="s">
        <v>28</v>
      </c>
      <c r="H18" s="44">
        <f>SUM(M5:M14)</f>
        <v>1067.4908142860577</v>
      </c>
      <c r="O18" s="53" t="s">
        <v>28</v>
      </c>
      <c r="P18" s="44">
        <f>SUM(T5:T14)</f>
        <v>1067.1570473029558</v>
      </c>
    </row>
    <row r="19" spans="1:16">
      <c r="G19" s="54" t="s">
        <v>29</v>
      </c>
      <c r="H19" s="37">
        <f>SUMPRODUCT(G5:G14,M5:M14)/H18</f>
        <v>7.8090443742024931</v>
      </c>
      <c r="O19" s="54" t="s">
        <v>29</v>
      </c>
      <c r="P19" s="37">
        <f>SUMPRODUCT(O5:O14,T5:T14)/P18</f>
        <v>7.8111739897115955</v>
      </c>
    </row>
    <row r="20" spans="1:16">
      <c r="G20" s="33"/>
      <c r="H20" s="33"/>
    </row>
    <row r="21" spans="1:16">
      <c r="G21" s="53" t="s">
        <v>39</v>
      </c>
      <c r="H21" s="44">
        <f>B18-H18</f>
        <v>-67.490814286057798</v>
      </c>
      <c r="O21" s="53" t="s">
        <v>39</v>
      </c>
      <c r="P21" s="44">
        <f>B18-P18</f>
        <v>-67.157047302955903</v>
      </c>
    </row>
    <row r="22" spans="1:16">
      <c r="G22" s="54" t="s">
        <v>38</v>
      </c>
      <c r="H22" s="37">
        <f>'Basic Case'!H21-Cat!H21</f>
        <v>-0.100725927571375</v>
      </c>
      <c r="O22" s="54" t="s">
        <v>38</v>
      </c>
      <c r="P22" s="37">
        <f>'Basic Case'!P21-Cat!P21</f>
        <v>-0.10887615764977454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1372-CC4C-4A7E-8180-EF5CE08751FC}">
  <dimension ref="B2:Q24"/>
  <sheetViews>
    <sheetView tabSelected="1" topLeftCell="A2" zoomScale="106" workbookViewId="0">
      <selection activeCell="J15" sqref="J15"/>
    </sheetView>
  </sheetViews>
  <sheetFormatPr defaultColWidth="8.85546875" defaultRowHeight="15"/>
  <cols>
    <col min="4" max="4" width="12.42578125" customWidth="1"/>
    <col min="9" max="9" width="9.7109375" bestFit="1" customWidth="1"/>
    <col min="11" max="11" width="11" customWidth="1"/>
    <col min="12" max="12" width="12.140625" customWidth="1"/>
  </cols>
  <sheetData>
    <row r="2" spans="2:17">
      <c r="B2" s="56" t="s">
        <v>66</v>
      </c>
      <c r="C2" s="66"/>
      <c r="D2" s="46"/>
      <c r="F2" s="56" t="s">
        <v>67</v>
      </c>
      <c r="G2" s="66"/>
      <c r="H2" s="46"/>
      <c r="J2" s="56" t="s">
        <v>40</v>
      </c>
      <c r="K2" s="66"/>
      <c r="L2" s="46"/>
      <c r="N2" s="67" t="s">
        <v>41</v>
      </c>
      <c r="O2" s="68"/>
    </row>
    <row r="3" spans="2:17">
      <c r="B3" s="43">
        <v>1</v>
      </c>
      <c r="C3" s="43">
        <v>0</v>
      </c>
      <c r="D3" s="44">
        <v>0</v>
      </c>
      <c r="F3" s="43">
        <v>1</v>
      </c>
      <c r="G3" s="43">
        <v>0.5</v>
      </c>
      <c r="H3" s="44">
        <v>0.5</v>
      </c>
      <c r="J3" s="43">
        <v>1</v>
      </c>
      <c r="K3" s="43">
        <v>0</v>
      </c>
      <c r="L3" s="44">
        <v>0.25</v>
      </c>
      <c r="N3" s="43">
        <v>1</v>
      </c>
      <c r="O3" s="44">
        <v>0.25</v>
      </c>
    </row>
    <row r="4" spans="2:17">
      <c r="B4" s="43">
        <v>0</v>
      </c>
      <c r="C4" s="43">
        <v>1</v>
      </c>
      <c r="D4" s="44">
        <v>0.75</v>
      </c>
      <c r="F4" s="43">
        <v>0.5</v>
      </c>
      <c r="G4" s="43">
        <v>1</v>
      </c>
      <c r="H4" s="44">
        <v>0.75</v>
      </c>
      <c r="J4" s="43">
        <v>0</v>
      </c>
      <c r="K4" s="43">
        <v>1</v>
      </c>
      <c r="L4" s="44">
        <v>0.25</v>
      </c>
      <c r="N4" s="40">
        <v>0.25</v>
      </c>
      <c r="O4" s="37">
        <v>1</v>
      </c>
    </row>
    <row r="5" spans="2:17">
      <c r="B5" s="40">
        <v>0</v>
      </c>
      <c r="C5" s="40">
        <v>0.75</v>
      </c>
      <c r="D5" s="37">
        <v>1</v>
      </c>
      <c r="F5" s="40">
        <v>0.5</v>
      </c>
      <c r="G5" s="40">
        <v>0.75</v>
      </c>
      <c r="H5" s="37">
        <v>1</v>
      </c>
      <c r="J5" s="40">
        <v>0.25</v>
      </c>
      <c r="K5" s="40">
        <v>0.25</v>
      </c>
      <c r="L5" s="37">
        <v>1</v>
      </c>
    </row>
    <row r="8" spans="2:17" ht="18">
      <c r="B8" s="73" t="s">
        <v>42</v>
      </c>
      <c r="C8" s="66"/>
      <c r="D8" s="45"/>
      <c r="E8" s="55"/>
      <c r="L8" s="45" t="s">
        <v>52</v>
      </c>
      <c r="M8" s="30"/>
      <c r="N8" s="30"/>
      <c r="O8" s="30"/>
      <c r="P8" s="30"/>
      <c r="Q8" s="31"/>
    </row>
    <row r="9" spans="2:17">
      <c r="L9" s="32"/>
      <c r="M9" s="33"/>
      <c r="N9" s="33"/>
      <c r="O9" s="33"/>
      <c r="P9" s="33"/>
      <c r="Q9" s="34"/>
    </row>
    <row r="10" spans="2:17">
      <c r="C10" s="45" t="s">
        <v>43</v>
      </c>
      <c r="D10" s="46" t="s">
        <v>44</v>
      </c>
      <c r="H10" s="69" t="s">
        <v>43</v>
      </c>
      <c r="I10" s="70" t="s">
        <v>53</v>
      </c>
      <c r="L10" s="32">
        <f t="array" ref="L10:L12">MMULT(B3:D5,C11:C13)</f>
        <v>1.8219482472616164</v>
      </c>
      <c r="M10" s="33">
        <f>L11</f>
        <v>52.602282040341919</v>
      </c>
      <c r="N10" s="33">
        <f>L12</f>
        <v>60.93849701390937</v>
      </c>
      <c r="O10" s="33"/>
      <c r="P10" s="33">
        <f t="array" ref="P10:P11">MMULT(N3:O4,H11:H12)</f>
        <v>64.183016858590975</v>
      </c>
      <c r="Q10" s="34">
        <f>P11</f>
        <v>24.789410838493509</v>
      </c>
    </row>
    <row r="11" spans="2:17">
      <c r="B11" s="38" t="s">
        <v>45</v>
      </c>
      <c r="C11" s="38">
        <f>MAX(R_up!H22,R_down!H22,0)</f>
        <v>1.8219482472616164</v>
      </c>
      <c r="D11" s="31">
        <f>MAX(R_up!P22,R_down!P22,0)</f>
        <v>1.5515942986803566</v>
      </c>
      <c r="G11" s="67" t="s">
        <v>49</v>
      </c>
      <c r="H11" s="38">
        <f>SQRT(MMULT(L10:N10,C11:C13))</f>
        <v>61.851375092232111</v>
      </c>
      <c r="I11" s="31">
        <f>SQRT(MMULT(L18:N18,D11:D13))</f>
        <v>44.359970031848356</v>
      </c>
      <c r="L11" s="32">
        <v>52.602282040341919</v>
      </c>
      <c r="M11" s="33"/>
      <c r="N11" s="33"/>
      <c r="O11" s="33"/>
      <c r="P11" s="33">
        <v>24.789410838493509</v>
      </c>
      <c r="Q11" s="34"/>
    </row>
    <row r="12" spans="2:17">
      <c r="B12" s="39" t="s">
        <v>31</v>
      </c>
      <c r="C12" s="39">
        <f>MAX(0,Equity!H24)</f>
        <v>15.767792639794038</v>
      </c>
      <c r="D12" s="34">
        <f>MAX(0,Equity!P24)</f>
        <v>1.0869265164518538</v>
      </c>
      <c r="G12" s="71" t="s">
        <v>50</v>
      </c>
      <c r="H12" s="39">
        <f>SQRT(MMULT(L14:N14,C14:C16))</f>
        <v>9.3265670654354835</v>
      </c>
      <c r="I12" s="34">
        <f>SQRT(MMULT(L22:N22,D14:D16))</f>
        <v>9.4685103009935574</v>
      </c>
      <c r="L12" s="32">
        <v>60.93849701390937</v>
      </c>
      <c r="M12" s="33"/>
      <c r="N12" s="33"/>
      <c r="O12" s="33"/>
      <c r="P12" s="33"/>
      <c r="Q12" s="34"/>
    </row>
    <row r="13" spans="2:17">
      <c r="B13" s="39" t="s">
        <v>46</v>
      </c>
      <c r="C13" s="39">
        <f>MAX('Market spread'!H24,0)</f>
        <v>49.112652534063841</v>
      </c>
      <c r="D13" s="34">
        <f>MAX(0,'Market spread'!P24)</f>
        <v>42.738037659236738</v>
      </c>
      <c r="G13" s="72" t="s">
        <v>51</v>
      </c>
      <c r="H13" s="40">
        <f>SQRT(MMULT(P10:Q10,H11:H12))</f>
        <v>64.81518304355555</v>
      </c>
      <c r="I13" s="37">
        <f>SQRT(MMULT(P18:Q18,I11:I12))</f>
        <v>47.617969771354865</v>
      </c>
      <c r="L13" s="32"/>
      <c r="M13" s="33"/>
      <c r="N13" s="33"/>
      <c r="O13" s="33"/>
      <c r="P13" s="33"/>
      <c r="Q13" s="34"/>
    </row>
    <row r="14" spans="2:17">
      <c r="B14" s="39" t="s">
        <v>35</v>
      </c>
      <c r="C14" s="39">
        <f>MAX(Mortality!H22,0)</f>
        <v>0</v>
      </c>
      <c r="D14" s="34">
        <f>MAX(0,Mortality!P22)</f>
        <v>0</v>
      </c>
      <c r="L14" s="32">
        <f t="array" ref="L14:L16">MMULT(J3:L5,C14:C16)</f>
        <v>0</v>
      </c>
      <c r="M14" s="33">
        <f>L15</f>
        <v>9.3265670654354835</v>
      </c>
      <c r="N14" s="33">
        <f>L16</f>
        <v>2.3316417663588709</v>
      </c>
      <c r="O14" s="33"/>
      <c r="P14" s="33"/>
      <c r="Q14" s="34"/>
    </row>
    <row r="15" spans="2:17">
      <c r="B15" s="39" t="s">
        <v>47</v>
      </c>
      <c r="C15" s="39">
        <f>MAX('Lapse up'!H24,'Lapse down'!H24,'Lapse mass'!H24,0)</f>
        <v>9.3265670654354835</v>
      </c>
      <c r="D15" s="34">
        <f>MAX('Lapse up'!P24,'Lapse down'!P24,'Lapse mass'!P24,0)</f>
        <v>9.4685103009935574</v>
      </c>
      <c r="L15" s="32">
        <v>9.3265670654354835</v>
      </c>
      <c r="M15" s="33"/>
      <c r="N15" s="33"/>
      <c r="O15" s="33"/>
      <c r="P15" s="33"/>
      <c r="Q15" s="34"/>
    </row>
    <row r="16" spans="2:17">
      <c r="B16" s="40" t="s">
        <v>48</v>
      </c>
      <c r="C16" s="40">
        <f>MAX(Cat!H22,0)</f>
        <v>0</v>
      </c>
      <c r="D16" s="37">
        <f>MAX(Cat!P22,0)</f>
        <v>0</v>
      </c>
      <c r="L16" s="32">
        <v>2.3316417663588709</v>
      </c>
      <c r="M16" s="33"/>
      <c r="N16" s="33"/>
      <c r="O16" s="33"/>
      <c r="P16" s="33"/>
      <c r="Q16" s="34"/>
    </row>
    <row r="17" spans="3:17">
      <c r="C17" s="33"/>
      <c r="L17" s="32"/>
      <c r="M17" s="33"/>
      <c r="N17" s="33"/>
      <c r="O17" s="33"/>
      <c r="P17" s="33"/>
      <c r="Q17" s="34"/>
    </row>
    <row r="18" spans="3:17">
      <c r="L18" s="32">
        <f t="array" ref="L18:L20">MMULT(F3:H5,D11:D13)</f>
        <v>23.464076386524653</v>
      </c>
      <c r="M18" s="33">
        <f>L19</f>
        <v>33.916251910219586</v>
      </c>
      <c r="N18" s="33">
        <f>L20</f>
        <v>44.329029695915807</v>
      </c>
      <c r="O18" s="33"/>
      <c r="P18" s="33">
        <f t="array" ref="P18:P19">MMULT(N3:O4,I11:I12)</f>
        <v>46.727097607096745</v>
      </c>
      <c r="Q18" s="34">
        <f>P19</f>
        <v>20.558502808955645</v>
      </c>
    </row>
    <row r="19" spans="3:17">
      <c r="L19" s="32">
        <v>33.916251910219586</v>
      </c>
      <c r="M19" s="33"/>
      <c r="N19" s="33"/>
      <c r="O19" s="33"/>
      <c r="P19" s="33">
        <v>20.558502808955645</v>
      </c>
      <c r="Q19" s="34"/>
    </row>
    <row r="20" spans="3:17">
      <c r="L20" s="32">
        <v>44.329029695915807</v>
      </c>
      <c r="M20" s="33"/>
      <c r="N20" s="33"/>
      <c r="O20" s="33"/>
      <c r="P20" s="33"/>
      <c r="Q20" s="34"/>
    </row>
    <row r="21" spans="3:17">
      <c r="L21" s="32"/>
      <c r="M21" s="33"/>
      <c r="N21" s="33"/>
      <c r="O21" s="33"/>
      <c r="P21" s="33"/>
      <c r="Q21" s="34"/>
    </row>
    <row r="22" spans="3:17">
      <c r="L22" s="32">
        <f t="array" ref="L22:L24">MMULT(J3:L5,D14:D16)</f>
        <v>0</v>
      </c>
      <c r="M22" s="33">
        <f>L23</f>
        <v>9.4685103009935574</v>
      </c>
      <c r="N22" s="33">
        <f>L24</f>
        <v>2.3671275752483893</v>
      </c>
      <c r="O22" s="33"/>
      <c r="P22" s="33"/>
      <c r="Q22" s="34"/>
    </row>
    <row r="23" spans="3:17">
      <c r="L23" s="32">
        <v>9.4685103009935574</v>
      </c>
      <c r="M23" s="33"/>
      <c r="N23" s="33"/>
      <c r="O23" s="33"/>
      <c r="P23" s="33"/>
      <c r="Q23" s="34"/>
    </row>
    <row r="24" spans="3:17">
      <c r="L24" s="35">
        <v>2.3671275752483893</v>
      </c>
      <c r="M24" s="36"/>
      <c r="N24" s="36"/>
      <c r="O24" s="36"/>
      <c r="P24" s="36"/>
      <c r="Q2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data</vt:lpstr>
      <vt:lpstr>Basic Case</vt:lpstr>
      <vt:lpstr>R_up</vt:lpstr>
      <vt:lpstr>R_down</vt:lpstr>
      <vt:lpstr>Equity</vt:lpstr>
      <vt:lpstr>Market spread</vt:lpstr>
      <vt:lpstr>Mortality</vt:lpstr>
      <vt:lpstr>Lapse up</vt:lpstr>
      <vt:lpstr>Lapse down</vt:lpstr>
      <vt:lpstr>Lapse mass</vt:lpstr>
      <vt:lpstr>Cat</vt:lpstr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2019-06-24T08:54:12Z</dcterms:modified>
</cp:coreProperties>
</file>