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898b75043976db/Documents/Matthieu/Professionnel/Projet/DATA Analyse/Stage/"/>
    </mc:Choice>
  </mc:AlternateContent>
  <xr:revisionPtr revIDLastSave="386" documentId="8_{8FD79F34-C9D2-4302-9DD2-0739EA8B8ED9}" xr6:coauthVersionLast="47" xr6:coauthVersionMax="47" xr10:uidLastSave="{5A8FF309-82EF-48E3-9508-89AAE960E6EB}"/>
  <bookViews>
    <workbookView xWindow="-120" yWindow="-120" windowWidth="29040" windowHeight="15840" xr2:uid="{00000000-000D-0000-FFFF-FFFF00000000}"/>
  </bookViews>
  <sheets>
    <sheet name="Analyse" sheetId="3" r:id="rId1"/>
    <sheet name="TCD" sheetId="5" r:id="rId2"/>
    <sheet name="DATA" sheetId="1" r:id="rId3"/>
  </sheets>
  <definedNames>
    <definedName name="_xlchart.v1.0" hidden="1">DATA!$P$4:$P$70</definedName>
    <definedName name="_xlchart.v1.1" hidden="1">DATA!$D$4:$D$70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7" i="1"/>
  <c r="L9" i="1"/>
  <c r="L11" i="1"/>
  <c r="L13" i="1"/>
  <c r="L15" i="1"/>
  <c r="L17" i="1"/>
  <c r="L19" i="1"/>
  <c r="L21" i="1"/>
  <c r="L23" i="1"/>
  <c r="L25" i="1"/>
  <c r="L27" i="1"/>
  <c r="L29" i="1"/>
  <c r="L31" i="1"/>
  <c r="L33" i="1"/>
  <c r="L35" i="1"/>
  <c r="L37" i="1"/>
  <c r="L39" i="1"/>
  <c r="L41" i="1"/>
  <c r="L43" i="1"/>
  <c r="L45" i="1"/>
  <c r="L47" i="1"/>
  <c r="L49" i="1"/>
  <c r="L51" i="1"/>
  <c r="L53" i="1"/>
  <c r="L55" i="1"/>
  <c r="L57" i="1"/>
  <c r="L59" i="1"/>
  <c r="L61" i="1"/>
  <c r="L63" i="1"/>
  <c r="L65" i="1"/>
  <c r="L67" i="1"/>
  <c r="L69" i="1"/>
  <c r="K4" i="1"/>
  <c r="L4" i="1" s="1"/>
  <c r="K5" i="1"/>
  <c r="K6" i="1"/>
  <c r="L6" i="1" s="1"/>
  <c r="K7" i="1"/>
  <c r="K8" i="1"/>
  <c r="L8" i="1" s="1"/>
  <c r="K9" i="1"/>
  <c r="K10" i="1"/>
  <c r="L10" i="1" s="1"/>
  <c r="K11" i="1"/>
  <c r="K12" i="1"/>
  <c r="L12" i="1" s="1"/>
  <c r="K13" i="1"/>
  <c r="K14" i="1"/>
  <c r="L14" i="1" s="1"/>
  <c r="K15" i="1"/>
  <c r="K16" i="1"/>
  <c r="L16" i="1" s="1"/>
  <c r="K17" i="1"/>
  <c r="K18" i="1"/>
  <c r="L18" i="1" s="1"/>
  <c r="K19" i="1"/>
  <c r="K20" i="1"/>
  <c r="L20" i="1" s="1"/>
  <c r="K21" i="1"/>
  <c r="K22" i="1"/>
  <c r="L22" i="1" s="1"/>
  <c r="K23" i="1"/>
  <c r="K24" i="1"/>
  <c r="L24" i="1" s="1"/>
  <c r="K25" i="1"/>
  <c r="K26" i="1"/>
  <c r="L26" i="1" s="1"/>
  <c r="K27" i="1"/>
  <c r="K28" i="1"/>
  <c r="L28" i="1" s="1"/>
  <c r="K29" i="1"/>
  <c r="K30" i="1"/>
  <c r="L30" i="1" s="1"/>
  <c r="K31" i="1"/>
  <c r="K32" i="1"/>
  <c r="L32" i="1" s="1"/>
  <c r="K33" i="1"/>
  <c r="K34" i="1"/>
  <c r="L34" i="1" s="1"/>
  <c r="K35" i="1"/>
  <c r="K36" i="1"/>
  <c r="L36" i="1" s="1"/>
  <c r="K37" i="1"/>
  <c r="K38" i="1"/>
  <c r="L38" i="1" s="1"/>
  <c r="K39" i="1"/>
  <c r="K40" i="1"/>
  <c r="L40" i="1" s="1"/>
  <c r="K41" i="1"/>
  <c r="K42" i="1"/>
  <c r="L42" i="1" s="1"/>
  <c r="K43" i="1"/>
  <c r="K44" i="1"/>
  <c r="L44" i="1" s="1"/>
  <c r="K45" i="1"/>
  <c r="K46" i="1"/>
  <c r="L46" i="1" s="1"/>
  <c r="K47" i="1"/>
  <c r="K48" i="1"/>
  <c r="L48" i="1" s="1"/>
  <c r="K49" i="1"/>
  <c r="K50" i="1"/>
  <c r="L50" i="1" s="1"/>
  <c r="K51" i="1"/>
  <c r="K52" i="1"/>
  <c r="L52" i="1" s="1"/>
  <c r="K53" i="1"/>
  <c r="K54" i="1"/>
  <c r="L54" i="1" s="1"/>
  <c r="K55" i="1"/>
  <c r="K56" i="1"/>
  <c r="L56" i="1" s="1"/>
  <c r="K57" i="1"/>
  <c r="K58" i="1"/>
  <c r="L58" i="1" s="1"/>
  <c r="K59" i="1"/>
  <c r="K60" i="1"/>
  <c r="L60" i="1" s="1"/>
  <c r="K61" i="1"/>
  <c r="K62" i="1"/>
  <c r="L62" i="1" s="1"/>
  <c r="K63" i="1"/>
  <c r="K64" i="1"/>
  <c r="L64" i="1" s="1"/>
  <c r="K65" i="1"/>
  <c r="K66" i="1"/>
  <c r="L66" i="1" s="1"/>
  <c r="K67" i="1"/>
  <c r="K68" i="1"/>
  <c r="L68" i="1" s="1"/>
  <c r="K69" i="1"/>
  <c r="K70" i="1"/>
  <c r="L70" i="1" s="1"/>
  <c r="B19" i="3" l="1"/>
  <c r="B18" i="3"/>
  <c r="B14" i="3"/>
  <c r="B13" i="3"/>
  <c r="C13" i="3" s="1"/>
  <c r="C8" i="3"/>
  <c r="C7" i="3"/>
  <c r="C6" i="3"/>
  <c r="C5" i="3"/>
  <c r="C4" i="3"/>
  <c r="C3" i="3"/>
  <c r="C2" i="3"/>
  <c r="B8" i="3"/>
  <c r="B7" i="3"/>
  <c r="B6" i="3"/>
  <c r="B5" i="3"/>
  <c r="B4" i="3"/>
  <c r="B3" i="3"/>
  <c r="B2" i="3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B15" i="3" l="1"/>
  <c r="C14" i="3"/>
  <c r="C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<sst xmlns="http://schemas.openxmlformats.org/spreadsheetml/2006/main" count="528" uniqueCount="184">
  <si>
    <t>Survey Export</t>
  </si>
  <si>
    <t>ID d’enquête</t>
  </si>
  <si>
    <t>Date locale de création</t>
  </si>
  <si>
    <t>Compte de Service</t>
  </si>
  <si>
    <t>Civilité</t>
  </si>
  <si>
    <t>Flag Prospect</t>
  </si>
  <si>
    <t>Fixe/Mobile</t>
  </si>
  <si>
    <t>Date contact / evenement</t>
  </si>
  <si>
    <t>Date/heure contact</t>
  </si>
  <si>
    <t>ID d'appel CTI</t>
  </si>
  <si>
    <t>Unit</t>
  </si>
  <si>
    <t>Libre 2</t>
  </si>
  <si>
    <t>Satisfaction</t>
  </si>
  <si>
    <t>M.</t>
  </si>
  <si>
    <t>Client</t>
  </si>
  <si>
    <t>Fixe</t>
  </si>
  <si>
    <t>03d2039759afb433</t>
  </si>
  <si>
    <t>Appel_automatise</t>
  </si>
  <si>
    <t>Illuin_Explication_Facture</t>
  </si>
  <si>
    <t>En partie</t>
  </si>
  <si>
    <t>Mme.</t>
  </si>
  <si>
    <t>Mobile</t>
  </si>
  <si>
    <t>03d2039759afc4a9</t>
  </si>
  <si>
    <t>Pas du tout</t>
  </si>
  <si>
    <t>03d3039759d25d8a</t>
  </si>
  <si>
    <t>03d2039759afc7f6</t>
  </si>
  <si>
    <t>03d2039759afcee3</t>
  </si>
  <si>
    <t>03d3039759d26a0c</t>
  </si>
  <si>
    <t>03d2039759afda8d</t>
  </si>
  <si>
    <t>Tout à fait</t>
  </si>
  <si>
    <t>03d3039759d27c9a</t>
  </si>
  <si>
    <t>03d3039759d29862</t>
  </si>
  <si>
    <t>03d3039759d29c7e</t>
  </si>
  <si>
    <t>03d2039759b0099d</t>
  </si>
  <si>
    <t>03d3039759d2a21e</t>
  </si>
  <si>
    <t>03d3039759d32c2c</t>
  </si>
  <si>
    <t>03d2039759aece9b</t>
  </si>
  <si>
    <t>03d3039759d175d9</t>
  </si>
  <si>
    <t>03d3039759d178df</t>
  </si>
  <si>
    <t>03d3039759d181aa</t>
  </si>
  <si>
    <t>Illuin_Code_PUK</t>
  </si>
  <si>
    <t>03d2039759aef53b</t>
  </si>
  <si>
    <t>03d2039759af292b</t>
  </si>
  <si>
    <t>03d2039759af41c4</t>
  </si>
  <si>
    <t>03d3039759d1e458</t>
  </si>
  <si>
    <t>03d2039759af59e8</t>
  </si>
  <si>
    <t>03d3039759d1f3ef</t>
  </si>
  <si>
    <t>03d2039759ae8854</t>
  </si>
  <si>
    <t>03d40395a22f400e</t>
  </si>
  <si>
    <t>03d10395a237b43d</t>
  </si>
  <si>
    <t>10086162302</t>
  </si>
  <si>
    <t>03d40395a22d4895</t>
  </si>
  <si>
    <t>10091158854</t>
  </si>
  <si>
    <t>03d10395a235b5c5</t>
  </si>
  <si>
    <t>10070768076</t>
  </si>
  <si>
    <t>03d10395a235c598</t>
  </si>
  <si>
    <t>10001280522</t>
  </si>
  <si>
    <t>03d10395a2367afb</t>
  </si>
  <si>
    <t>10082147871</t>
  </si>
  <si>
    <t>03d10395a23518b3</t>
  </si>
  <si>
    <t>10087287485</t>
  </si>
  <si>
    <t>03d40395a22cd021</t>
  </si>
  <si>
    <t>10068181026</t>
  </si>
  <si>
    <t>03d40395a22cf61e</t>
  </si>
  <si>
    <t>10087945852</t>
  </si>
  <si>
    <t>03d10395a233b737</t>
  </si>
  <si>
    <t>10087208905</t>
  </si>
  <si>
    <t>03d40395a22b6b51</t>
  </si>
  <si>
    <t>10090485196</t>
  </si>
  <si>
    <t>03d10395a233d6b9</t>
  </si>
  <si>
    <t>10084783911</t>
  </si>
  <si>
    <t>03d40395a22b8c56</t>
  </si>
  <si>
    <t>10084895265</t>
  </si>
  <si>
    <t>03d40395a22b92dd</t>
  </si>
  <si>
    <t>10006432457</t>
  </si>
  <si>
    <t>03d10395a2341c0c</t>
  </si>
  <si>
    <t>10009373627</t>
  </si>
  <si>
    <t>03d10395a234337f</t>
  </si>
  <si>
    <t>10071916156</t>
  </si>
  <si>
    <t>03d10395a23462b4</t>
  </si>
  <si>
    <t>10085885580</t>
  </si>
  <si>
    <t>03d40395a22c19ab</t>
  </si>
  <si>
    <t>10082552638</t>
  </si>
  <si>
    <t>03d40395a22c2e2c</t>
  </si>
  <si>
    <t>10061833373</t>
  </si>
  <si>
    <t>03d10395a23494f1</t>
  </si>
  <si>
    <t>10084447342</t>
  </si>
  <si>
    <t>03d10395a2327b87</t>
  </si>
  <si>
    <t>10060538530</t>
  </si>
  <si>
    <t>03d40395a22a2e76</t>
  </si>
  <si>
    <t>10035721251</t>
  </si>
  <si>
    <t>03d10395a232b9cd</t>
  </si>
  <si>
    <t>10085034397</t>
  </si>
  <si>
    <t>03d10395a232c0ec</t>
  </si>
  <si>
    <t>10079309634</t>
  </si>
  <si>
    <t>03d10395a232c792</t>
  </si>
  <si>
    <t>10087757651</t>
  </si>
  <si>
    <t>03d10395a232d1dc</t>
  </si>
  <si>
    <t>10090816633</t>
  </si>
  <si>
    <t>03d10395a232d567</t>
  </si>
  <si>
    <t>10079677514</t>
  </si>
  <si>
    <t>03d40395a22a94ac</t>
  </si>
  <si>
    <t>10082073174</t>
  </si>
  <si>
    <t>03d10395a23358d2</t>
  </si>
  <si>
    <t>10083503008</t>
  </si>
  <si>
    <t>03d10395a2337b89</t>
  </si>
  <si>
    <t>10039876903</t>
  </si>
  <si>
    <t>03d10395a23388c7</t>
  </si>
  <si>
    <t>10087990944</t>
  </si>
  <si>
    <t>03d10395a2339dfa</t>
  </si>
  <si>
    <t>10086322697</t>
  </si>
  <si>
    <t>03d303950b35b469</t>
  </si>
  <si>
    <t>10086136684</t>
  </si>
  <si>
    <t>03d303950b35b767</t>
  </si>
  <si>
    <t>10083475568</t>
  </si>
  <si>
    <t>03d203950b1fa1af</t>
  </si>
  <si>
    <t>10085297981</t>
  </si>
  <si>
    <t>10055481125</t>
  </si>
  <si>
    <t>10077389681</t>
  </si>
  <si>
    <t>10079020292</t>
  </si>
  <si>
    <t>10071184024</t>
  </si>
  <si>
    <t>10056415029</t>
  </si>
  <si>
    <t>10083786584</t>
  </si>
  <si>
    <t>10090724191</t>
  </si>
  <si>
    <t>Age</t>
  </si>
  <si>
    <t>10084619830</t>
  </si>
  <si>
    <t>10084481824</t>
  </si>
  <si>
    <t>10079702222</t>
  </si>
  <si>
    <t>610015957510</t>
  </si>
  <si>
    <t>10073830656</t>
  </si>
  <si>
    <t>10077632165</t>
  </si>
  <si>
    <t>10082934224</t>
  </si>
  <si>
    <t>610015223500</t>
  </si>
  <si>
    <t>10041241785</t>
  </si>
  <si>
    <t>10079938290</t>
  </si>
  <si>
    <t>10059574670</t>
  </si>
  <si>
    <t>10087464638</t>
  </si>
  <si>
    <t>10080903170</t>
  </si>
  <si>
    <t>10004408454</t>
  </si>
  <si>
    <t>10063564169</t>
  </si>
  <si>
    <t>10090008323</t>
  </si>
  <si>
    <t>10090763543</t>
  </si>
  <si>
    <t>10085006410</t>
  </si>
  <si>
    <t>10051568634</t>
  </si>
  <si>
    <t>10081132266</t>
  </si>
  <si>
    <t>10065061845</t>
  </si>
  <si>
    <t>10081117793</t>
  </si>
  <si>
    <t>10073279714</t>
  </si>
  <si>
    <t>10069152628</t>
  </si>
  <si>
    <t>10084863954</t>
  </si>
  <si>
    <t>10090904577</t>
  </si>
  <si>
    <t>Colonne1</t>
  </si>
  <si>
    <t>Age_CAT</t>
  </si>
  <si>
    <t>Data</t>
  </si>
  <si>
    <t>Note</t>
  </si>
  <si>
    <t>Minimum</t>
  </si>
  <si>
    <t>Maximum</t>
  </si>
  <si>
    <t>Moyenne</t>
  </si>
  <si>
    <t>Mediane</t>
  </si>
  <si>
    <t>Ecart-type</t>
  </si>
  <si>
    <t>1er quartile</t>
  </si>
  <si>
    <t>3e quartile</t>
  </si>
  <si>
    <t>Étiquettes de lignes</t>
  </si>
  <si>
    <t>[0;40[</t>
  </si>
  <si>
    <t>[40;50[</t>
  </si>
  <si>
    <t>[50;60[</t>
  </si>
  <si>
    <t>[60;70[</t>
  </si>
  <si>
    <t>[70;80[</t>
  </si>
  <si>
    <t>[80;+]</t>
  </si>
  <si>
    <t>Total général</t>
  </si>
  <si>
    <t>Nombre de Compte de Service</t>
  </si>
  <si>
    <t>Moyenne de Satisfaction</t>
  </si>
  <si>
    <t>Genre</t>
  </si>
  <si>
    <t>Répartition</t>
  </si>
  <si>
    <t>H</t>
  </si>
  <si>
    <t>F</t>
  </si>
  <si>
    <t>Fréquence</t>
  </si>
  <si>
    <t>Total</t>
  </si>
  <si>
    <t>[0;50[</t>
  </si>
  <si>
    <t>[50;+]</t>
  </si>
  <si>
    <t>EAC Moyen</t>
  </si>
  <si>
    <t>Ho</t>
  </si>
  <si>
    <t>(Tous)</t>
  </si>
  <si>
    <t>(vide)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</si>
</sst>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indexed="8"/>
      <name val="Aptos Narrow"/>
      <family val="2"/>
      <scheme val="minor"/>
    </font>
    <font>
      <b/>
      <sz val="18"/>
      <name val="Calibri"/>
      <family val="2"/>
    </font>
    <font>
      <b/>
      <sz val="11"/>
      <name val="Calibri"/>
      <family val="2"/>
    </font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  <xf numFmtId="49" fontId="0" fillId="0" borderId="0" xfId="1" applyNumberFormat="1" applyFont="1"/>
    <xf numFmtId="0" fontId="0" fillId="0" borderId="0" xfId="1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2" applyFont="1"/>
    <xf numFmtId="9" fontId="3" fillId="0" borderId="0" xfId="0" applyNumberFormat="1" applyFont="1"/>
    <xf numFmtId="2" fontId="0" fillId="0" borderId="0" xfId="0" applyNumberFormat="1" applyAlignment="1">
      <alignment horizontal="left"/>
    </xf>
  </cellXfs>
  <cellStyles count="3">
    <cellStyle name="Milliers" xfId="1" builtinId="3"/>
    <cellStyle name="Normal" xfId="0" builtinId="0"/>
    <cellStyle name="Pourcentage" xfId="2" builtinId="5"/>
  </cellStyles>
  <dxfs count="13">
    <dxf>
      <numFmt numFmtId="2" formatCode="0.00"/>
    </dxf>
    <dxf>
      <numFmt numFmtId="2" formatCode="0.00"/>
    </dxf>
    <dxf>
      <numFmt numFmtId="27" formatCode="dd/mm/yyyy\ hh:mm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family val="2"/>
        <scheme val="minor"/>
      </font>
      <numFmt numFmtId="164" formatCode="_-* #,##0_-;\-* #,##0_-;_-* &quot;-&quot;??_-;_-@_-"/>
    </dxf>
    <dxf>
      <numFmt numFmtId="27" formatCode="dd/mm/yyyy\ 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[Analyse EAC Illuin (avec age et genre) 2025-07-30.xlsx]TCD!Tableau croisé dynamique5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TCD!$B$3</c:f>
              <c:strCache>
                <c:ptCount val="1"/>
                <c:pt idx="0">
                  <c:v>Nombre de Compte de Service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TCD!$A$4:$A$10</c:f>
              <c:strCache>
                <c:ptCount val="6"/>
                <c:pt idx="0">
                  <c:v>[0;40[</c:v>
                </c:pt>
                <c:pt idx="1">
                  <c:v>[40;50[</c:v>
                </c:pt>
                <c:pt idx="2">
                  <c:v>[50;60[</c:v>
                </c:pt>
                <c:pt idx="3">
                  <c:v>[60;70[</c:v>
                </c:pt>
                <c:pt idx="4">
                  <c:v>[70;80[</c:v>
                </c:pt>
                <c:pt idx="5">
                  <c:v>[80;+]</c:v>
                </c:pt>
              </c:strCache>
            </c:strRef>
          </c:cat>
          <c:val>
            <c:numRef>
              <c:f>TCD!$B$4:$B$10</c:f>
              <c:numCache>
                <c:formatCode>General</c:formatCode>
                <c:ptCount val="6"/>
                <c:pt idx="0">
                  <c:v>6</c:v>
                </c:pt>
                <c:pt idx="1">
                  <c:v>12</c:v>
                </c:pt>
                <c:pt idx="2">
                  <c:v>14</c:v>
                </c:pt>
                <c:pt idx="3">
                  <c:v>19</c:v>
                </c:pt>
                <c:pt idx="4">
                  <c:v>14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E5-4C61-B6A1-FD3AEA2D2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9069152"/>
        <c:axId val="1839070592"/>
      </c:barChart>
      <c:lineChart>
        <c:grouping val="standard"/>
        <c:varyColors val="0"/>
        <c:ser>
          <c:idx val="1"/>
          <c:order val="1"/>
          <c:tx>
            <c:strRef>
              <c:f>TCD!$C$3</c:f>
              <c:strCache>
                <c:ptCount val="1"/>
                <c:pt idx="0">
                  <c:v>Moyenne de Satisfaction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TCD!$A$4:$A$10</c:f>
              <c:strCache>
                <c:ptCount val="6"/>
                <c:pt idx="0">
                  <c:v>[0;40[</c:v>
                </c:pt>
                <c:pt idx="1">
                  <c:v>[40;50[</c:v>
                </c:pt>
                <c:pt idx="2">
                  <c:v>[50;60[</c:v>
                </c:pt>
                <c:pt idx="3">
                  <c:v>[60;70[</c:v>
                </c:pt>
                <c:pt idx="4">
                  <c:v>[70;80[</c:v>
                </c:pt>
                <c:pt idx="5">
                  <c:v>[80;+]</c:v>
                </c:pt>
              </c:strCache>
            </c:strRef>
          </c:cat>
          <c:val>
            <c:numRef>
              <c:f>TCD!$C$4:$C$10</c:f>
              <c:numCache>
                <c:formatCode>0.00</c:formatCode>
                <c:ptCount val="6"/>
                <c:pt idx="0">
                  <c:v>1.8333333333333333</c:v>
                </c:pt>
                <c:pt idx="1">
                  <c:v>2.6666666666666665</c:v>
                </c:pt>
                <c:pt idx="2">
                  <c:v>3.2142857142857144</c:v>
                </c:pt>
                <c:pt idx="3">
                  <c:v>3.3684210526315788</c:v>
                </c:pt>
                <c:pt idx="4">
                  <c:v>3.9285714285714284</c:v>
                </c:pt>
                <c:pt idx="5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E5-4C61-B6A1-FD3AEA2D2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933232"/>
        <c:axId val="2082937072"/>
      </c:lineChart>
      <c:catAx>
        <c:axId val="183906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9070592"/>
        <c:crosses val="autoZero"/>
        <c:auto val="1"/>
        <c:lblAlgn val="ctr"/>
        <c:lblOffset val="100"/>
        <c:noMultiLvlLbl val="0"/>
      </c:catAx>
      <c:valAx>
        <c:axId val="183907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9069152"/>
        <c:crosses val="autoZero"/>
        <c:crossBetween val="between"/>
      </c:valAx>
      <c:valAx>
        <c:axId val="208293707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82933232"/>
        <c:crosses val="max"/>
        <c:crossBetween val="between"/>
      </c:valAx>
      <c:catAx>
        <c:axId val="2082933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2937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[Analyse EAC Illuin (avec age et genre) 2025-07-30.xlsx]TCD!Tableau croisé dynamique6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TCD!$B$14</c:f>
              <c:strCache>
                <c:ptCount val="1"/>
                <c:pt idx="0">
                  <c:v>Nombre de Compte de Service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TCD!$A$15:$A$17</c:f>
              <c:strCache>
                <c:ptCount val="2"/>
                <c:pt idx="0">
                  <c:v>M.</c:v>
                </c:pt>
                <c:pt idx="1">
                  <c:v>Mme.</c:v>
                </c:pt>
              </c:strCache>
            </c:strRef>
          </c:cat>
          <c:val>
            <c:numRef>
              <c:f>TCD!$B$15:$B$17</c:f>
              <c:numCache>
                <c:formatCode>General</c:formatCode>
                <c:ptCount val="2"/>
                <c:pt idx="0">
                  <c:v>31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C-49F2-A92F-8D86BA267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0709440"/>
        <c:axId val="2025954160"/>
      </c:barChart>
      <c:lineChart>
        <c:grouping val="standard"/>
        <c:varyColors val="0"/>
        <c:ser>
          <c:idx val="1"/>
          <c:order val="1"/>
          <c:tx>
            <c:strRef>
              <c:f>TCD!$C$14</c:f>
              <c:strCache>
                <c:ptCount val="1"/>
                <c:pt idx="0">
                  <c:v>Moyenne de Satisfaction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TCD!$A$15:$A$17</c:f>
              <c:strCache>
                <c:ptCount val="2"/>
                <c:pt idx="0">
                  <c:v>M.</c:v>
                </c:pt>
                <c:pt idx="1">
                  <c:v>Mme.</c:v>
                </c:pt>
              </c:strCache>
            </c:strRef>
          </c:cat>
          <c:val>
            <c:numRef>
              <c:f>TCD!$C$15:$C$17</c:f>
              <c:numCache>
                <c:formatCode>General</c:formatCode>
                <c:ptCount val="2"/>
                <c:pt idx="0">
                  <c:v>3.4838709677419355</c:v>
                </c:pt>
                <c:pt idx="1">
                  <c:v>2.9444444444444446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FC-49F2-A92F-8D86BA267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635648"/>
        <c:axId val="2029638048"/>
      </c:lineChart>
      <c:catAx>
        <c:axId val="193070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54160"/>
        <c:crosses val="autoZero"/>
        <c:auto val="1"/>
        <c:lblAlgn val="ctr"/>
        <c:lblOffset val="100"/>
        <c:noMultiLvlLbl val="0"/>
      </c:catAx>
      <c:valAx>
        <c:axId val="20259541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0709440"/>
        <c:crosses val="autoZero"/>
        <c:crossBetween val="between"/>
      </c:valAx>
      <c:valAx>
        <c:axId val="2029638048"/>
        <c:scaling>
          <c:orientation val="minMax"/>
          <c:max val="4.5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9635648"/>
        <c:crosses val="max"/>
        <c:crossBetween val="between"/>
      </c:valAx>
      <c:catAx>
        <c:axId val="2029635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96380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[Analyse EAC Illuin (avec age et genre) 2025-07-30.xlsx]TCD!Tableau croisé dynamique7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TCD!$B$22</c:f>
              <c:strCache>
                <c:ptCount val="1"/>
                <c:pt idx="0">
                  <c:v>Nombre de Compte de Service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TCD!$A$23:$A$38</c:f>
              <c:strCache>
                <c:ptCount val="15"/>
                <c:pt idx="0">
                  <c:v>0,00</c:v>
                </c:pt>
                <c:pt idx="1">
                  <c:v>1,00</c:v>
                </c:pt>
                <c:pt idx="2">
                  <c:v>2,00</c:v>
                </c:pt>
                <c:pt idx="3">
                  <c:v>3,00</c:v>
                </c:pt>
                <c:pt idx="4">
                  <c:v>4,00</c:v>
                </c:pt>
                <c:pt idx="5">
                  <c:v>5,00</c:v>
                </c:pt>
                <c:pt idx="6">
                  <c:v>6,00</c:v>
                </c:pt>
                <c:pt idx="7">
                  <c:v>7,00</c:v>
                </c:pt>
                <c:pt idx="8">
                  <c:v>8,00</c:v>
                </c:pt>
                <c:pt idx="9">
                  <c:v>9,00</c:v>
                </c:pt>
                <c:pt idx="10">
                  <c:v>10,00</c:v>
                </c:pt>
                <c:pt idx="11">
                  <c:v>11,00</c:v>
                </c:pt>
                <c:pt idx="12">
                  <c:v>13,00</c:v>
                </c:pt>
                <c:pt idx="13">
                  <c:v>22,00</c:v>
                </c:pt>
                <c:pt idx="14">
                  <c:v>23,00</c:v>
                </c:pt>
              </c:strCache>
            </c:strRef>
          </c:cat>
          <c:val>
            <c:numRef>
              <c:f>TCD!$B$23:$B$38</c:f>
              <c:numCache>
                <c:formatCode>General</c:formatCode>
                <c:ptCount val="15"/>
                <c:pt idx="0">
                  <c:v>9</c:v>
                </c:pt>
                <c:pt idx="1">
                  <c:v>7</c:v>
                </c:pt>
                <c:pt idx="2">
                  <c:v>12</c:v>
                </c:pt>
                <c:pt idx="3">
                  <c:v>4</c:v>
                </c:pt>
                <c:pt idx="4">
                  <c:v>5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6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8-40CF-A003-3907DF518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0163824"/>
        <c:axId val="1120169104"/>
      </c:barChart>
      <c:lineChart>
        <c:grouping val="standard"/>
        <c:varyColors val="0"/>
        <c:ser>
          <c:idx val="1"/>
          <c:order val="1"/>
          <c:tx>
            <c:strRef>
              <c:f>TCD!$C$22</c:f>
              <c:strCache>
                <c:ptCount val="1"/>
                <c:pt idx="0">
                  <c:v>Moyenne de Satisfaction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TCD!$A$23:$A$38</c:f>
              <c:strCache>
                <c:ptCount val="15"/>
                <c:pt idx="0">
                  <c:v>0,00</c:v>
                </c:pt>
                <c:pt idx="1">
                  <c:v>1,00</c:v>
                </c:pt>
                <c:pt idx="2">
                  <c:v>2,00</c:v>
                </c:pt>
                <c:pt idx="3">
                  <c:v>3,00</c:v>
                </c:pt>
                <c:pt idx="4">
                  <c:v>4,00</c:v>
                </c:pt>
                <c:pt idx="5">
                  <c:v>5,00</c:v>
                </c:pt>
                <c:pt idx="6">
                  <c:v>6,00</c:v>
                </c:pt>
                <c:pt idx="7">
                  <c:v>7,00</c:v>
                </c:pt>
                <c:pt idx="8">
                  <c:v>8,00</c:v>
                </c:pt>
                <c:pt idx="9">
                  <c:v>9,00</c:v>
                </c:pt>
                <c:pt idx="10">
                  <c:v>10,00</c:v>
                </c:pt>
                <c:pt idx="11">
                  <c:v>11,00</c:v>
                </c:pt>
                <c:pt idx="12">
                  <c:v>13,00</c:v>
                </c:pt>
                <c:pt idx="13">
                  <c:v>22,00</c:v>
                </c:pt>
                <c:pt idx="14">
                  <c:v>23,00</c:v>
                </c:pt>
              </c:strCache>
            </c:strRef>
          </c:cat>
          <c:val>
            <c:numRef>
              <c:f>TCD!$C$23:$C$38</c:f>
              <c:numCache>
                <c:formatCode>General</c:formatCode>
                <c:ptCount val="15"/>
                <c:pt idx="0">
                  <c:v>3</c:v>
                </c:pt>
                <c:pt idx="1">
                  <c:v>3.7142857142857144</c:v>
                </c:pt>
                <c:pt idx="2">
                  <c:v>3.0833333333333335</c:v>
                </c:pt>
                <c:pt idx="3">
                  <c:v>3.5</c:v>
                </c:pt>
                <c:pt idx="4">
                  <c:v>3.2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  <c:pt idx="8">
                  <c:v>3.8333333333333335</c:v>
                </c:pt>
                <c:pt idx="9">
                  <c:v>2.3333333333333335</c:v>
                </c:pt>
                <c:pt idx="10">
                  <c:v>3</c:v>
                </c:pt>
                <c:pt idx="11">
                  <c:v>1</c:v>
                </c:pt>
                <c:pt idx="12">
                  <c:v>5</c:v>
                </c:pt>
                <c:pt idx="13">
                  <c:v>4.5</c:v>
                </c:pt>
                <c:pt idx="14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F8-40CF-A003-3907DF518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6259968"/>
        <c:axId val="1126252768"/>
      </c:lineChart>
      <c:catAx>
        <c:axId val="112016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20169104"/>
        <c:crosses val="autoZero"/>
        <c:auto val="1"/>
        <c:lblAlgn val="ctr"/>
        <c:lblOffset val="100"/>
        <c:noMultiLvlLbl val="0"/>
      </c:catAx>
      <c:valAx>
        <c:axId val="112016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20163824"/>
        <c:crosses val="autoZero"/>
        <c:crossBetween val="between"/>
      </c:valAx>
      <c:valAx>
        <c:axId val="11262527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26259968"/>
        <c:crosses val="max"/>
        <c:crossBetween val="between"/>
      </c:valAx>
      <c:catAx>
        <c:axId val="1126259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6252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 des EAC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Distribution des EAC</a:t>
          </a:r>
        </a:p>
      </cx:txPr>
    </cx:title>
    <cx:plotArea>
      <cx:plotAreaRegion>
        <cx:series layoutId="boxWhisker" uniqueId="{B240B442-9025-4D2D-ADFA-E02F4F1D0D8E}">
          <cx:dataLabels pos="l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5" min="1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des âges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Distribution des âges</a:t>
          </a:r>
        </a:p>
      </cx:txPr>
    </cx:title>
    <cx:plotArea>
      <cx:plotAreaRegion>
        <cx:series layoutId="boxWhisker" uniqueId="{4021DE08-EFB3-4A25-AF76-A628B9F9A9A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0</xdr:rowOff>
    </xdr:from>
    <xdr:to>
      <xdr:col>9</xdr:col>
      <xdr:colOff>19050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F3F880E8-DB08-4C5B-BD12-B040D9EBFF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43175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9</xdr:col>
      <xdr:colOff>9525</xdr:colOff>
      <xdr:row>0</xdr:row>
      <xdr:rowOff>0</xdr:rowOff>
    </xdr:from>
    <xdr:to>
      <xdr:col>15</xdr:col>
      <xdr:colOff>9525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D0F3D76F-4C88-408C-9938-B29EED70CD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0565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3</xdr:col>
      <xdr:colOff>19050</xdr:colOff>
      <xdr:row>14</xdr:row>
      <xdr:rowOff>66675</xdr:rowOff>
    </xdr:from>
    <xdr:to>
      <xdr:col>9</xdr:col>
      <xdr:colOff>19050</xdr:colOff>
      <xdr:row>28</xdr:row>
      <xdr:rowOff>142875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5B521AF-7362-407C-B6A7-98422D11C1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28575</xdr:colOff>
      <xdr:row>14</xdr:row>
      <xdr:rowOff>76200</xdr:rowOff>
    </xdr:from>
    <xdr:to>
      <xdr:col>15</xdr:col>
      <xdr:colOff>28575</xdr:colOff>
      <xdr:row>28</xdr:row>
      <xdr:rowOff>152400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C0BB99AE-541C-4C91-887D-275B0132F3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28575</xdr:colOff>
      <xdr:row>3</xdr:row>
      <xdr:rowOff>142875</xdr:rowOff>
    </xdr:from>
    <xdr:to>
      <xdr:col>23</xdr:col>
      <xdr:colOff>438150</xdr:colOff>
      <xdr:row>22</xdr:row>
      <xdr:rowOff>14288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FD3A1549-27FA-4D9D-A92E-1976071E7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ieu" refreshedDate="45868.65138703704" createdVersion="8" refreshedVersion="8" minRefreshableVersion="3" recordCount="67" xr:uid="{15AEAF20-FA8B-4574-A162-93BEEEE75FEA}">
  <cacheSource type="worksheet">
    <worksheetSource name="Data_Illuin"/>
  </cacheSource>
  <cacheFields count="23">
    <cacheField name="ID d’enquête" numFmtId="0">
      <sharedItems containsSemiMixedTypes="0" containsString="0" containsNumber="1" containsInteger="1" minValue="183498568" maxValue="185841077"/>
    </cacheField>
    <cacheField name="Date locale de création" numFmtId="22">
      <sharedItems containsSemiMixedTypes="0" containsNonDate="0" containsDate="1" containsString="0" minDate="2025-07-16T14:44:37" maxDate="2025-07-30T11:11:29"/>
    </cacheField>
    <cacheField name="Compte de Service" numFmtId="49">
      <sharedItems/>
    </cacheField>
    <cacheField name="Age" numFmtId="0">
      <sharedItems containsSemiMixedTypes="0" containsString="0" containsNumber="1" containsInteger="1" minValue="23" maxValue="85"/>
    </cacheField>
    <cacheField name="Age_CAT" numFmtId="0">
      <sharedItems count="6">
        <s v="[70;80["/>
        <s v="[50;60["/>
        <s v="[60;70["/>
        <s v="[80;+]"/>
        <s v="[0;40["/>
        <s v="[40;50["/>
      </sharedItems>
    </cacheField>
    <cacheField name="Civilité" numFmtId="0">
      <sharedItems count="2">
        <s v="M."/>
        <s v="Mme."/>
      </sharedItems>
    </cacheField>
    <cacheField name="Flag Prospect" numFmtId="0">
      <sharedItems/>
    </cacheField>
    <cacheField name="Fixe/Mobile" numFmtId="0">
      <sharedItems/>
    </cacheField>
    <cacheField name="Date contact / evenement" numFmtId="14">
      <sharedItems containsSemiMixedTypes="0" containsNonDate="0" containsDate="1" containsString="0" minDate="2025-07-09T00:00:00" maxDate="2025-07-30T00:00:00"/>
    </cacheField>
    <cacheField name="Date/heure contact" numFmtId="22">
      <sharedItems containsSemiMixedTypes="0" containsNonDate="0" containsDate="1" containsString="0" minDate="2025-07-09T00:14:00" maxDate="2025-07-29T09:10:00"/>
    </cacheField>
    <cacheField name="Colonne1" numFmtId="2">
      <sharedItems containsSemiMixedTypes="0" containsString="0" containsNumber="1" containsInteger="1" minValue="0" maxValue="23" count="15">
        <n v="22"/>
        <n v="0"/>
        <n v="1"/>
        <n v="2"/>
        <n v="3"/>
        <n v="9"/>
        <n v="5"/>
        <n v="6"/>
        <n v="7"/>
        <n v="4"/>
        <n v="23"/>
        <n v="13"/>
        <n v="8"/>
        <n v="10"/>
        <n v="11"/>
      </sharedItems>
    </cacheField>
    <cacheField name="Ho" numFmtId="2">
      <sharedItems count="2">
        <b v="0"/>
        <b v="1"/>
      </sharedItems>
    </cacheField>
    <cacheField name="ID d'appel CTI" numFmtId="0">
      <sharedItems containsBlank="1"/>
    </cacheField>
    <cacheField name="Unit" numFmtId="0">
      <sharedItems/>
    </cacheField>
    <cacheField name="Libre 2" numFmtId="0">
      <sharedItems/>
    </cacheField>
    <cacheField name="Satisfaction" numFmtId="0">
      <sharedItems containsSemiMixedTypes="0" containsString="0" containsNumber="1" containsInteger="1" minValue="1" maxValue="5"/>
    </cacheField>
    <cacheField name="Explication Sat / Insat" numFmtId="0">
      <sharedItems containsBlank="1" longText="1"/>
    </cacheField>
    <cacheField name="Quelles difficultés avez-vous rencontré avec l’assistant vocal ?" numFmtId="0">
      <sharedItems containsBlank="1" longText="1"/>
    </cacheField>
    <cacheField name="L'assistant vocal vous a-t-il permis de répondre à votre demande / résoudre_x000a_votre problème ?" numFmtId="0">
      <sharedItems containsBlank="1" count="4">
        <s v="En partie"/>
        <s v="Pas du tout"/>
        <s v="Tout à fait"/>
        <m/>
      </sharedItems>
    </cacheField>
    <cacheField name="Votre demande est-elle liée à un problème technique qui a déjà été résolu et qui se pose de nouveau ?" numFmtId="0">
      <sharedItems containsString="0" containsBlank="1" containsNumber="1" containsInteger="1" minValue="0" maxValue="1"/>
    </cacheField>
    <cacheField name="Êtes-vous allé jusqu’au bout de l’échange avec l’assistant vocal ?" numFmtId="0">
      <sharedItems containsString="0" containsBlank="1" containsNumber="1" containsInteger="1" minValue="0" maxValue="1"/>
    </cacheField>
    <cacheField name="Suite à cet échange avec l’assistant vocal, avez-vous eu besoin de rappeler au_x000a_1064 ?" numFmtId="0">
      <sharedItems containsString="0" containsBlank="1" containsNumber="1" containsInteger="1" minValue="0" maxValue="1"/>
    </cacheField>
    <cacheField name="Les assistants vocaux permettent de traiter une partie des demandes clients_x000a_24h/24h, tout en offrant la possibilité de parler à des conseillers dans_x000a_certains cas. De manière générale, ces dispositifs vous semblent-ils pertinents_x000a_?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n v="185841077"/>
    <d v="2025-07-30T11:11:29"/>
    <s v="610015223500"/>
    <n v="78"/>
    <x v="0"/>
    <x v="0"/>
    <s v="Client"/>
    <s v="Fixe"/>
    <d v="2025-07-29T00:00:00"/>
    <d v="2025-07-28T22:04:00"/>
    <x v="0"/>
    <x v="0"/>
    <s v="03d2039759afb433"/>
    <s v="Appel_automatise"/>
    <s v="Illuin_Explication_Facture"/>
    <n v="4"/>
    <s v="Les trois quarts du temps il faut répéter plusieurs fois la même chose pour qu on soit compris"/>
    <s v="Je n’apprécie pas ce type d’interaction par principe,Je n’étais pas en mesure de répondre aux questions qui m’étaient posées"/>
    <x v="0"/>
    <n v="0"/>
    <n v="1"/>
    <n v="1"/>
    <s v="Plutôt"/>
  </r>
  <r>
    <n v="185841066"/>
    <d v="2025-07-30T11:11:29"/>
    <s v="10063564169"/>
    <n v="53"/>
    <x v="1"/>
    <x v="1"/>
    <s v="Client"/>
    <s v="Mobile"/>
    <d v="2025-07-29T00:00:00"/>
    <d v="2025-07-29T00:15:00"/>
    <x v="1"/>
    <x v="0"/>
    <s v="03d2039759afc4a9"/>
    <s v="Appel_automatise"/>
    <s v="Illuin_Explication_Facture"/>
    <n v="1"/>
    <s v="Personne ne m’a appelée !!!!!!"/>
    <s v="&quot;Les échanges étaient hors sujet, ma demande n’a pas été comprise&quot;"/>
    <x v="1"/>
    <n v="0"/>
    <n v="0"/>
    <n v="1"/>
    <s v="Pas du tout"/>
  </r>
  <r>
    <n v="185841064"/>
    <d v="2025-07-30T11:11:29"/>
    <s v="10082934224"/>
    <n v="64"/>
    <x v="2"/>
    <x v="0"/>
    <s v="Client"/>
    <s v="Mobile"/>
    <d v="2025-07-29T00:00:00"/>
    <d v="2025-07-29T00:22:00"/>
    <x v="1"/>
    <x v="0"/>
    <s v="03d3039759d25d8a"/>
    <s v="Appel_automatise"/>
    <s v="Illuin_Explication_Facture"/>
    <n v="1"/>
    <s v="Victime d'un piratage,  il m'est accordé un remboursement d'un mois d'abonnement Netflix sur les trois payés par prélèvement..."/>
    <m/>
    <x v="0"/>
    <n v="1"/>
    <n v="1"/>
    <n v="0"/>
    <s v="Plutôt"/>
  </r>
  <r>
    <n v="185841062"/>
    <d v="2025-07-30T11:11:29"/>
    <s v="10080903170"/>
    <n v="58"/>
    <x v="1"/>
    <x v="1"/>
    <s v="Client"/>
    <s v="Mobile"/>
    <d v="2025-07-29T00:00:00"/>
    <d v="2025-07-29T00:26:00"/>
    <x v="1"/>
    <x v="0"/>
    <s v="03d2039759afc7f6"/>
    <s v="Appel_automatise"/>
    <s v="Illuin_Explication_Facture"/>
    <n v="5"/>
    <s v="Ma question ma réponse très bien"/>
    <m/>
    <x v="1"/>
    <n v="0"/>
    <n v="1"/>
    <n v="1"/>
    <s v="Pas du tout"/>
  </r>
  <r>
    <n v="185841054"/>
    <d v="2025-07-30T11:11:29"/>
    <s v="10090763543"/>
    <n v="58"/>
    <x v="1"/>
    <x v="1"/>
    <s v="Client"/>
    <s v="Mobile"/>
    <d v="2025-07-29T00:00:00"/>
    <d v="2025-07-29T00:47:00"/>
    <x v="1"/>
    <x v="0"/>
    <s v="03d2039759afcee3"/>
    <s v="Appel_automatise"/>
    <s v="Illuin_Explication_Facture"/>
    <n v="1"/>
    <s v="Facturation d'un élément non souscrit"/>
    <s v="Ma demande nécessitait un échange avec une vraie personne"/>
    <x v="1"/>
    <n v="0"/>
    <n v="1"/>
    <n v="0"/>
    <s v="Pas du tout"/>
  </r>
  <r>
    <n v="185841050"/>
    <d v="2025-07-30T11:11:29"/>
    <s v="10069152628"/>
    <n v="85"/>
    <x v="3"/>
    <x v="1"/>
    <s v="Client"/>
    <s v="Mobile"/>
    <d v="2025-07-29T00:00:00"/>
    <d v="2025-07-29T01:00:00"/>
    <x v="1"/>
    <x v="0"/>
    <s v="03d3039759d26a0c"/>
    <s v="Appel_automatise"/>
    <s v="Illuin_Explication_Facture"/>
    <n v="3"/>
    <s v="Pas de recherche de l' origine de l abonnement pirate"/>
    <m/>
    <x v="1"/>
    <n v="0"/>
    <n v="1"/>
    <n v="0"/>
    <s v="Plutôt pas"/>
  </r>
  <r>
    <n v="185841044"/>
    <d v="2025-07-30T11:11:29"/>
    <s v="10041241785"/>
    <n v="67"/>
    <x v="2"/>
    <x v="1"/>
    <s v="Client"/>
    <s v="Mobile"/>
    <d v="2025-07-29T00:00:00"/>
    <d v="2025-07-29T01:18:00"/>
    <x v="2"/>
    <x v="0"/>
    <s v="03d2039759afda8d"/>
    <s v="Appel_automatise"/>
    <s v="Illuin_Explication_Facture"/>
    <n v="4"/>
    <s v="La rapidité des réponses à mes questions due je pense et en suis sûre à l I A_x000a_Nous sommes des cobayes"/>
    <s v="Ma demande nécessitait un échange avec une vraie personne"/>
    <x v="2"/>
    <n v="0"/>
    <n v="1"/>
    <n v="0"/>
    <s v="Plutôt"/>
  </r>
  <r>
    <n v="185841037"/>
    <d v="2025-07-30T11:11:29"/>
    <s v="10051568634"/>
    <n v="74"/>
    <x v="0"/>
    <x v="0"/>
    <s v="Client"/>
    <s v="Mobile"/>
    <d v="2025-07-29T00:00:00"/>
    <d v="2025-07-29T01:44:00"/>
    <x v="2"/>
    <x v="0"/>
    <s v="03d3039759d27c9a"/>
    <s v="Appel_automatise"/>
    <s v="Illuin_Explication_Facture"/>
    <n v="5"/>
    <s v="Amabilité et efficacité"/>
    <m/>
    <x v="2"/>
    <n v="0"/>
    <n v="1"/>
    <n v="1"/>
    <s v="Plutôt pas"/>
  </r>
  <r>
    <n v="185841027"/>
    <d v="2025-07-30T11:11:29"/>
    <s v="10081117793"/>
    <n v="72"/>
    <x v="0"/>
    <x v="1"/>
    <s v="Client"/>
    <s v="Mobile"/>
    <d v="2025-07-29T00:00:00"/>
    <d v="2025-07-29T02:48:00"/>
    <x v="3"/>
    <x v="0"/>
    <s v="03d3039759d29862"/>
    <s v="Appel_automatise"/>
    <s v="Illuin_Explication_Facture"/>
    <n v="5"/>
    <m/>
    <m/>
    <x v="0"/>
    <n v="0"/>
    <n v="1"/>
    <n v="0"/>
    <s v="Plutôt"/>
  </r>
  <r>
    <n v="185841022"/>
    <d v="2025-07-30T11:11:29"/>
    <s v="10079938290"/>
    <n v="56"/>
    <x v="1"/>
    <x v="1"/>
    <s v="Client"/>
    <s v="Mobile"/>
    <d v="2025-07-29T00:00:00"/>
    <d v="2025-07-29T02:59:00"/>
    <x v="3"/>
    <x v="0"/>
    <s v="03d3039759d29c7e"/>
    <s v="Appel_automatise"/>
    <s v="Illuin_Explication_Facture"/>
    <n v="3"/>
    <s v="J aurais préférer avoir un conseiller"/>
    <s v="Ma demande nécessitait un échange avec une vraie personne"/>
    <x v="1"/>
    <n v="0"/>
    <n v="1"/>
    <n v="0"/>
    <s v="Plutôt"/>
  </r>
  <r>
    <n v="185841017"/>
    <d v="2025-07-30T11:11:29"/>
    <s v="10090904577"/>
    <n v="72"/>
    <x v="0"/>
    <x v="0"/>
    <s v="Client"/>
    <s v="Mobile"/>
    <d v="2025-07-29T00:00:00"/>
    <d v="2025-07-29T03:11:00"/>
    <x v="4"/>
    <x v="0"/>
    <s v="03d2039759b0099d"/>
    <s v="Appel_automatise"/>
    <s v="Illuin_Explication_Facture"/>
    <n v="3"/>
    <s v="Savoir si mon abonnement tel pas box est un forfait car ayant vu que les retraits sont légèrement pas identique le robot parleur m a dit qu en fonction de ma consommation le règlement était différent. Donc je crois avoir une réponse assez claire l...."/>
    <s v="Ma demande nécessitait un échange avec une vraie personne,Je n’apprécie pas ce type d’interaction par principe"/>
    <x v="0"/>
    <n v="0"/>
    <n v="1"/>
    <n v="1"/>
    <s v="Plutôt"/>
  </r>
  <r>
    <n v="185841016"/>
    <d v="2025-07-30T11:11:29"/>
    <s v="10090008323"/>
    <n v="60"/>
    <x v="2"/>
    <x v="0"/>
    <s v="Client"/>
    <s v="Mobile"/>
    <d v="2025-07-29T00:00:00"/>
    <d v="2025-07-29T03:14:00"/>
    <x v="4"/>
    <x v="0"/>
    <s v="03d3039759d2a21e"/>
    <s v="Appel_automatise"/>
    <s v="Illuin_Explication_Facture"/>
    <n v="5"/>
    <m/>
    <m/>
    <x v="2"/>
    <n v="1"/>
    <n v="1"/>
    <n v="1"/>
    <s v="Tout à fait"/>
  </r>
  <r>
    <n v="185840939"/>
    <d v="2025-07-30T11:11:29"/>
    <s v="10073279714"/>
    <n v="33"/>
    <x v="4"/>
    <x v="0"/>
    <s v="Client"/>
    <s v="Mobile"/>
    <d v="2025-07-29T00:00:00"/>
    <d v="2025-07-29T09:10:00"/>
    <x v="5"/>
    <x v="1"/>
    <s v="03d3039759d32c2c"/>
    <s v="Appel_automatise"/>
    <s v="Illuin_Explication_Facture"/>
    <n v="1"/>
    <s v="La conseillère m’a promis qu’un responsable allait m’appeler : j’attends toujours, demande qui traîne depuis + d’un mois"/>
    <s v="Les échanges étaient trop longs"/>
    <x v="1"/>
    <n v="0"/>
    <n v="1"/>
    <n v="1"/>
    <s v="Pas du tout"/>
  </r>
  <r>
    <n v="185616266"/>
    <d v="2025-07-29T11:31:13"/>
    <s v="10065061845"/>
    <n v="75"/>
    <x v="0"/>
    <x v="1"/>
    <s v="Client"/>
    <s v="Mobile"/>
    <d v="2025-07-28T00:00:00"/>
    <d v="2025-07-28T01:20:00"/>
    <x v="2"/>
    <x v="0"/>
    <s v="03d2039759aece9b"/>
    <s v="Appel_automatise"/>
    <s v="Illuin_Explication_Facture"/>
    <n v="5"/>
    <s v="Réponse pertinente"/>
    <m/>
    <x v="2"/>
    <n v="0"/>
    <n v="1"/>
    <n v="0"/>
    <s v="Tout à fait"/>
  </r>
  <r>
    <n v="185616257"/>
    <d v="2025-07-29T11:31:13"/>
    <s v="10077632165"/>
    <n v="53"/>
    <x v="1"/>
    <x v="0"/>
    <s v="Client"/>
    <s v="Mobile"/>
    <d v="2025-07-28T00:00:00"/>
    <d v="2025-07-28T02:04:00"/>
    <x v="3"/>
    <x v="0"/>
    <s v="03d3039759d175d9"/>
    <s v="Appel_automatise"/>
    <s v="Illuin_Explication_Facture"/>
    <n v="5"/>
    <s v="La qualité"/>
    <m/>
    <x v="2"/>
    <n v="0"/>
    <n v="1"/>
    <n v="0"/>
    <s v="Tout à fait"/>
  </r>
  <r>
    <n v="185616255"/>
    <d v="2025-07-29T11:31:13"/>
    <s v="10004408454"/>
    <n v="67"/>
    <x v="2"/>
    <x v="1"/>
    <s v="Client"/>
    <s v="Mobile"/>
    <d v="2025-07-28T00:00:00"/>
    <d v="2025-07-28T02:11:00"/>
    <x v="3"/>
    <x v="0"/>
    <s v="03d3039759d178df"/>
    <s v="Appel_automatise"/>
    <s v="Illuin_Explication_Facture"/>
    <n v="2"/>
    <s v="Conseillère qui est restée sur sa décision. Pas vraiment à l'écoute. Je lui demande à être rappelée d'ici fin de semaine pour une réponse positive...je crois que je vais attendre longtemps ! Et que bien sûr je vais être contrainte de rappeler. Ouf !!! Un peu ras le bol de ces conseillers au discours différent !!"/>
    <m/>
    <x v="1"/>
    <n v="0"/>
    <n v="1"/>
    <n v="1"/>
    <s v="Plutôt pas"/>
  </r>
  <r>
    <n v="185616244"/>
    <d v="2025-07-29T11:31:13"/>
    <s v="10059574670"/>
    <n v="64"/>
    <x v="2"/>
    <x v="0"/>
    <s v="Client"/>
    <s v="Mobile"/>
    <d v="2025-07-28T00:00:00"/>
    <d v="2025-07-28T02:31:00"/>
    <x v="3"/>
    <x v="0"/>
    <s v="03d3039759d181aa"/>
    <s v="Appel_automatise"/>
    <s v="Illuin_Code_PUK"/>
    <n v="5"/>
    <s v="Tout"/>
    <m/>
    <x v="0"/>
    <n v="0"/>
    <n v="1"/>
    <n v="0"/>
    <s v="Plutôt"/>
  </r>
  <r>
    <n v="185616232"/>
    <d v="2025-07-29T11:31:13"/>
    <s v="10084619830"/>
    <n v="28"/>
    <x v="4"/>
    <x v="1"/>
    <s v="Client"/>
    <s v="Mobile"/>
    <d v="2025-07-28T00:00:00"/>
    <d v="2025-07-28T02:48:00"/>
    <x v="3"/>
    <x v="0"/>
    <s v="03d2039759aef53b"/>
    <s v="Appel_automatise"/>
    <s v="Illuin_Code_PUK"/>
    <n v="1"/>
    <s v="Désolée je suis hospitalisé 😥"/>
    <s v="Je n’étais pas en mesure de répondre aux questions qui m’étaient posées"/>
    <x v="1"/>
    <n v="0"/>
    <n v="0"/>
    <n v="1"/>
    <s v="Pas du tout"/>
  </r>
  <r>
    <n v="185616208"/>
    <d v="2025-07-29T11:31:13"/>
    <s v="10085006410"/>
    <n v="43"/>
    <x v="5"/>
    <x v="1"/>
    <s v="Client"/>
    <s v="Mobile"/>
    <d v="2025-07-28T00:00:00"/>
    <d v="2025-07-28T05:06:00"/>
    <x v="6"/>
    <x v="0"/>
    <s v="03d2039759af292b"/>
    <s v="Appel_automatise"/>
    <s v="Illuin_Explication_Facture"/>
    <n v="5"/>
    <s v="Très bonne communication avec l’assistant, très poli, aimable et m’a très bien renseigné concernant mon problème, je suis très satisfaite"/>
    <m/>
    <x v="0"/>
    <n v="0"/>
    <n v="1"/>
    <n v="0"/>
    <s v="Pas du tout"/>
  </r>
  <r>
    <n v="185616192"/>
    <d v="2025-07-29T11:31:13"/>
    <s v="10087464638"/>
    <n v="51"/>
    <x v="1"/>
    <x v="1"/>
    <s v="Client"/>
    <s v="Mobile"/>
    <d v="2025-07-28T00:00:00"/>
    <d v="2025-07-28T06:06:00"/>
    <x v="7"/>
    <x v="0"/>
    <s v="03d2039759af41c4"/>
    <s v="Appel_automatise"/>
    <s v="Illuin_Explication_Facture"/>
    <n v="1"/>
    <s v="Pas du tout"/>
    <s v="&quot;Les échanges étaient hors sujet, ma demande n’a pas été comprise&quot;"/>
    <x v="1"/>
    <n v="0"/>
    <n v="0"/>
    <n v="0"/>
    <s v="Pas du tout"/>
  </r>
  <r>
    <n v="185616188"/>
    <d v="2025-07-29T11:31:13"/>
    <s v="610015957510"/>
    <n v="32"/>
    <x v="4"/>
    <x v="0"/>
    <s v="Client"/>
    <s v="Fixe"/>
    <d v="2025-07-28T00:00:00"/>
    <d v="2025-07-28T06:37:00"/>
    <x v="7"/>
    <x v="0"/>
    <s v="03d3039759d1e458"/>
    <s v="Appel_automatise"/>
    <s v="Illuin_Explication_Facture"/>
    <n v="1"/>
    <m/>
    <s v="Les échanges étaient trop longs"/>
    <x v="1"/>
    <n v="0"/>
    <n v="0"/>
    <n v="1"/>
    <s v="Plutôt pas"/>
  </r>
  <r>
    <n v="185616184"/>
    <d v="2025-07-29T11:31:13"/>
    <s v="10073830656"/>
    <n v="64"/>
    <x v="2"/>
    <x v="1"/>
    <s v="Client"/>
    <s v="Mobile"/>
    <d v="2025-07-28T00:00:00"/>
    <d v="2025-07-28T07:06:00"/>
    <x v="8"/>
    <x v="0"/>
    <s v="03d2039759af59e8"/>
    <s v="Appel_automatise"/>
    <s v="Illuin_Explication_Facture"/>
    <n v="5"/>
    <s v="La reponce favorable. Cordialement"/>
    <m/>
    <x v="2"/>
    <n v="1"/>
    <n v="1"/>
    <n v="1"/>
    <s v="Tout à fait"/>
  </r>
  <r>
    <n v="185616182"/>
    <d v="2025-07-29T11:31:13"/>
    <s v="10084481824"/>
    <n v="71"/>
    <x v="0"/>
    <x v="0"/>
    <s v="Client"/>
    <s v="Mobile"/>
    <d v="2025-07-28T00:00:00"/>
    <d v="2025-07-28T07:15:00"/>
    <x v="8"/>
    <x v="0"/>
    <s v="03d3039759d1f3ef"/>
    <s v="Appel_automatise"/>
    <s v="Illuin_Explication_Facture"/>
    <n v="5"/>
    <s v="Son professionnalisme, sa gentillesse, son amabilité, sa compréhension en bref, et toutes les sincérité parfaite"/>
    <m/>
    <x v="0"/>
    <n v="0"/>
    <n v="1"/>
    <n v="0"/>
    <s v="Plutôt"/>
  </r>
  <r>
    <n v="185437828"/>
    <d v="2025-07-28T13:56:54"/>
    <s v="10081132266"/>
    <n v="46"/>
    <x v="5"/>
    <x v="0"/>
    <s v="Client"/>
    <s v="Mobile"/>
    <d v="2025-07-27T00:00:00"/>
    <d v="2025-07-27T04:19:00"/>
    <x v="9"/>
    <x v="0"/>
    <s v="03d2039759ae8854"/>
    <s v="Appel_automatise"/>
    <s v="Illuin_Explication_Facture"/>
    <n v="5"/>
    <s v="La rapidité de l'exécution de ma demande."/>
    <m/>
    <x v="2"/>
    <n v="0"/>
    <n v="1"/>
    <n v="0"/>
    <s v="Pas du tout"/>
  </r>
  <r>
    <n v="185437919"/>
    <d v="2025-07-28T13:56:54"/>
    <s v="10079702222"/>
    <n v="59"/>
    <x v="1"/>
    <x v="1"/>
    <s v="Client"/>
    <s v="Mobile"/>
    <d v="2025-07-26T00:00:00"/>
    <d v="2025-07-26T03:33:00"/>
    <x v="4"/>
    <x v="0"/>
    <s v="03d40395a22f400e"/>
    <s v="Appel_automatise"/>
    <s v="Illuin_Code_PUK"/>
    <n v="1"/>
    <s v="Ont n as pas tenu compte de mes dernières réclamation!!!"/>
    <s v="Je n’apprécie pas ce type d’interaction par principe"/>
    <x v="1"/>
    <n v="0"/>
    <n v="1"/>
    <n v="0"/>
    <s v="Pas du tout"/>
  </r>
  <r>
    <n v="185437909"/>
    <d v="2025-07-28T13:56:54"/>
    <s v="10084863954"/>
    <n v="62"/>
    <x v="2"/>
    <x v="0"/>
    <s v="Client"/>
    <s v="Mobile"/>
    <d v="2025-07-26T00:00:00"/>
    <d v="2025-07-26T06:18:00"/>
    <x v="7"/>
    <x v="0"/>
    <s v="03d10395a237b43d"/>
    <s v="Appel_automatise"/>
    <s v="Illuin_Explication_Facture"/>
    <n v="1"/>
    <s v="Pas de réponse à ma demande"/>
    <s v="Ma demande nécessitait un échange avec une vraie personne"/>
    <x v="1"/>
    <n v="0"/>
    <n v="0"/>
    <n v="1"/>
    <s v="Pas du tout"/>
  </r>
  <r>
    <n v="185021903"/>
    <d v="2025-07-25T14:06:50"/>
    <s v="10086162302"/>
    <n v="30"/>
    <x v="4"/>
    <x v="1"/>
    <s v="Client"/>
    <s v="Mobile"/>
    <d v="2025-07-24T00:00:00"/>
    <d v="2025-07-23T23:37:00"/>
    <x v="10"/>
    <x v="0"/>
    <s v="03d40395a22d4895"/>
    <s v="Appel_automatise"/>
    <s v="Illuin_Explication_Facture"/>
    <n v="1"/>
    <s v="Très compliqué de contacter un être humain et quand enfin nous avons quelqu'un avec qui échanger ce n'est même pas par téléphone mais à l'écrit ce qui est extrêmement insatisfaisant et désagréable"/>
    <m/>
    <x v="3"/>
    <m/>
    <m/>
    <m/>
    <m/>
  </r>
  <r>
    <n v="185021890"/>
    <d v="2025-07-25T14:06:50"/>
    <s v="10091158854"/>
    <n v="54"/>
    <x v="1"/>
    <x v="0"/>
    <s v="Client"/>
    <s v="Mobile"/>
    <d v="2025-07-24T00:00:00"/>
    <d v="2025-07-24T01:04:00"/>
    <x v="2"/>
    <x v="0"/>
    <s v="03d10395a235b5c5"/>
    <s v="Appel_automatise"/>
    <s v="Illuin_Code_PUK"/>
    <n v="2"/>
    <m/>
    <m/>
    <x v="3"/>
    <m/>
    <m/>
    <m/>
    <m/>
  </r>
  <r>
    <n v="185021880"/>
    <d v="2025-07-25T14:06:50"/>
    <s v="10070768076"/>
    <n v="59"/>
    <x v="1"/>
    <x v="0"/>
    <s v="Client"/>
    <s v="Mobile"/>
    <d v="2025-07-24T00:00:00"/>
    <d v="2025-07-24T01:51:00"/>
    <x v="2"/>
    <x v="0"/>
    <s v="03d10395a235c598"/>
    <s v="Appel_automatise"/>
    <s v="Illuin_Explication_Facture"/>
    <n v="5"/>
    <s v="Le geste commercial et ça sympathie"/>
    <m/>
    <x v="1"/>
    <n v="1"/>
    <n v="1"/>
    <n v="1"/>
    <s v="Tout à fait"/>
  </r>
  <r>
    <n v="185021808"/>
    <d v="2025-07-25T14:06:50"/>
    <s v="10001280522"/>
    <n v="73"/>
    <x v="0"/>
    <x v="1"/>
    <s v="Client"/>
    <s v="Mobile"/>
    <d v="2025-07-24T00:00:00"/>
    <d v="2025-07-24T13:05:00"/>
    <x v="11"/>
    <x v="1"/>
    <s v="03d10395a2367afb"/>
    <s v="Appel_automatise"/>
    <s v="Illuin_Code_PUK"/>
    <n v="5"/>
    <s v="Clarté et efficacité"/>
    <m/>
    <x v="1"/>
    <n v="1"/>
    <n v="1"/>
    <n v="1"/>
    <s v="Pas du tout"/>
  </r>
  <r>
    <n v="184738719"/>
    <d v="2025-07-24T11:37:57"/>
    <s v="10082147871"/>
    <n v="59"/>
    <x v="1"/>
    <x v="0"/>
    <s v="Client"/>
    <s v="Mobile"/>
    <d v="2025-07-23T00:00:00"/>
    <d v="2025-07-23T04:58:00"/>
    <x v="9"/>
    <x v="0"/>
    <s v="03d10395a23518b3"/>
    <s v="Appel_automatise"/>
    <s v="Illuin_Explication_Facture"/>
    <n v="5"/>
    <s v="L'écoute, le professionnalisme et la compréhension de la personne que nous avons eu en ligne"/>
    <m/>
    <x v="2"/>
    <n v="0"/>
    <n v="1"/>
    <n v="0"/>
    <m/>
  </r>
  <r>
    <n v="184738716"/>
    <d v="2025-07-24T11:37:57"/>
    <s v="10087287485"/>
    <n v="69"/>
    <x v="2"/>
    <x v="1"/>
    <s v="Client"/>
    <s v="Mobile"/>
    <d v="2025-07-23T00:00:00"/>
    <d v="2025-07-23T05:49:00"/>
    <x v="6"/>
    <x v="0"/>
    <s v="03d40395a22cd021"/>
    <s v="Appel_automatise"/>
    <s v="Illuin_Explication_Facture"/>
    <n v="1"/>
    <s v="J'aurais aimé parler à un conseiller (un vrai)"/>
    <s v="Ma demande nécessitait un échange avec une vraie personne"/>
    <x v="1"/>
    <n v="0"/>
    <n v="1"/>
    <n v="1"/>
    <s v="Plutôt pas"/>
  </r>
  <r>
    <n v="184738698"/>
    <d v="2025-07-24T11:37:57"/>
    <s v="10068181026"/>
    <n v="23"/>
    <x v="4"/>
    <x v="1"/>
    <s v="Client"/>
    <s v="Mobile"/>
    <d v="2025-07-23T00:00:00"/>
    <d v="2025-07-23T07:28:00"/>
    <x v="8"/>
    <x v="0"/>
    <s v="03d40395a22cf61e"/>
    <s v="Appel_automatise"/>
    <s v="Illuin_Explication_Facture"/>
    <n v="2"/>
    <s v="Aucune fidélisation client"/>
    <s v="Je n’apprécie pas ce type d’interaction par principe"/>
    <x v="2"/>
    <n v="0"/>
    <n v="1"/>
    <n v="0"/>
    <s v="Tout à fait"/>
  </r>
  <r>
    <n v="184565515"/>
    <d v="2025-07-23T11:41:21"/>
    <s v="10087945852"/>
    <n v="52"/>
    <x v="1"/>
    <x v="1"/>
    <s v="Client"/>
    <s v="Mobile"/>
    <d v="2025-07-22T00:00:00"/>
    <d v="2025-07-22T00:30:00"/>
    <x v="1"/>
    <x v="0"/>
    <s v="03d10395a233b737"/>
    <s v="Appel_automatise"/>
    <s v="Illuin_Explication_Facture"/>
    <n v="5"/>
    <s v="Top"/>
    <m/>
    <x v="2"/>
    <n v="1"/>
    <n v="1"/>
    <n v="0"/>
    <s v="Tout à fait"/>
  </r>
  <r>
    <n v="184565500"/>
    <d v="2025-07-23T11:41:21"/>
    <s v="10087208905"/>
    <n v="44"/>
    <x v="5"/>
    <x v="1"/>
    <s v="Client"/>
    <s v="Mobile"/>
    <d v="2025-07-22T00:00:00"/>
    <d v="2025-07-22T01:19:00"/>
    <x v="2"/>
    <x v="0"/>
    <s v="03d40395a22b6b51"/>
    <s v="Appel_automatise"/>
    <s v="Illuin_Code_PUK"/>
    <n v="1"/>
    <s v="A la fin japprend que pour avoir mon code puk auprès d'un conseiller 7€ sachant que mon tel c'est bloqué sans que je tape mon code pin sa ma énerver heureusement j'avais accès à mon ordi"/>
    <s v="Ma demande nécessitait un échange avec une vraie personne"/>
    <x v="0"/>
    <n v="0"/>
    <n v="0"/>
    <n v="0"/>
    <s v="Plutôt pas"/>
  </r>
  <r>
    <n v="184565489"/>
    <d v="2025-07-23T11:41:21"/>
    <s v="10090485196"/>
    <n v="73"/>
    <x v="0"/>
    <x v="0"/>
    <s v="Client"/>
    <s v="Mobile"/>
    <d v="2025-07-22T00:00:00"/>
    <d v="2025-07-22T01:49:00"/>
    <x v="2"/>
    <x v="0"/>
    <s v="03d10395a233d6b9"/>
    <s v="Appel_automatise"/>
    <s v="Illuin_Explication_Facture"/>
    <n v="4"/>
    <m/>
    <m/>
    <x v="2"/>
    <n v="0"/>
    <n v="0"/>
    <n v="0"/>
    <s v="Plutôt"/>
  </r>
  <r>
    <n v="184565480"/>
    <d v="2025-07-23T11:41:21"/>
    <s v="10084783911"/>
    <n v="74"/>
    <x v="0"/>
    <x v="0"/>
    <s v="Client"/>
    <s v="Mobile"/>
    <d v="2025-07-22T00:00:00"/>
    <d v="2025-07-22T02:33:00"/>
    <x v="3"/>
    <x v="0"/>
    <s v="03d40395a22b8c56"/>
    <s v="Appel_automatise"/>
    <s v="Illuin_Explication_Facture"/>
    <n v="2"/>
    <m/>
    <s v="&quot;Les échanges étaient hors sujet, ma demande n’a pas été comprise&quot;,Ma demande nécessitait un échange avec une vraie personne,Je n’apprécie pas ce type d’interaction par principe"/>
    <x v="1"/>
    <n v="0"/>
    <n v="0"/>
    <n v="0"/>
    <s v="Pas du tout"/>
  </r>
  <r>
    <n v="184565475"/>
    <d v="2025-07-23T11:41:21"/>
    <s v="10084895265"/>
    <n v="80"/>
    <x v="3"/>
    <x v="0"/>
    <s v="Client"/>
    <s v="Mobile"/>
    <d v="2025-07-22T00:00:00"/>
    <d v="2025-07-22T02:48:00"/>
    <x v="3"/>
    <x v="0"/>
    <s v="03d40395a22b92dd"/>
    <s v="Appel_automatise"/>
    <s v="Illuin_Explication_Facture"/>
    <n v="4"/>
    <s v="Rien à redire..."/>
    <s v="Ma demande nécessitait un échange avec une vraie personne"/>
    <x v="3"/>
    <m/>
    <m/>
    <n v="1"/>
    <m/>
  </r>
  <r>
    <n v="184565460"/>
    <d v="2025-07-23T11:41:21"/>
    <s v="10006432457"/>
    <n v="65"/>
    <x v="2"/>
    <x v="0"/>
    <s v="Client"/>
    <s v="Mobile"/>
    <d v="2025-07-22T00:00:00"/>
    <d v="2025-07-22T04:56:00"/>
    <x v="9"/>
    <x v="0"/>
    <s v="03d10395a2341c0c"/>
    <s v="Appel_automatise"/>
    <s v="Illuin_Explication_Facture"/>
    <n v="1"/>
    <s v="Impossibilité de répondre à mes questions."/>
    <s v="Ma demande nécessitait un échange avec une vraie personne"/>
    <x v="1"/>
    <n v="0"/>
    <n v="1"/>
    <n v="0"/>
    <s v="Pas du tout"/>
  </r>
  <r>
    <n v="184565447"/>
    <d v="2025-07-23T11:41:21"/>
    <s v="10009373627"/>
    <n v="43"/>
    <x v="5"/>
    <x v="0"/>
    <s v="Client"/>
    <s v="Mobile"/>
    <d v="2025-07-22T00:00:00"/>
    <d v="2025-07-22T06:00:00"/>
    <x v="7"/>
    <x v="0"/>
    <s v="03d10395a234337f"/>
    <s v="Appel_automatise"/>
    <s v="Illuin_Code_PUK"/>
    <n v="5"/>
    <s v="Son professionnalisme et sa gentillesse"/>
    <m/>
    <x v="1"/>
    <n v="0"/>
    <n v="1"/>
    <n v="1"/>
    <s v="Pas du tout"/>
  </r>
  <r>
    <n v="184565410"/>
    <d v="2025-07-23T11:41:21"/>
    <s v="10071916156"/>
    <n v="66"/>
    <x v="2"/>
    <x v="0"/>
    <s v="Client"/>
    <s v="Mobile"/>
    <d v="2025-07-22T00:00:00"/>
    <d v="2025-07-22T08:06:00"/>
    <x v="12"/>
    <x v="1"/>
    <s v="03d10395a23462b4"/>
    <s v="Appel_automatise"/>
    <s v="Illuin_Explication_Facture"/>
    <n v="5"/>
    <s v="Amabilité  efficacité professionnelle"/>
    <m/>
    <x v="1"/>
    <n v="0"/>
    <n v="0"/>
    <n v="1"/>
    <s v="Plutôt pas"/>
  </r>
  <r>
    <n v="184565400"/>
    <d v="2025-07-23T11:41:21"/>
    <s v="10085885580"/>
    <n v="55"/>
    <x v="1"/>
    <x v="1"/>
    <s v="Client"/>
    <s v="Mobile"/>
    <d v="2025-07-22T00:00:00"/>
    <d v="2025-07-22T08:56:00"/>
    <x v="12"/>
    <x v="1"/>
    <s v="03d40395a22c19ab"/>
    <s v="Appel_automatise"/>
    <s v="Illuin_Explication_Facture"/>
    <n v="5"/>
    <s v="Mon interlocutrice..très agréable.. et on vois qu elle connaît très bien sont travail et ma très bien conseillé bravo"/>
    <m/>
    <x v="0"/>
    <n v="0"/>
    <n v="1"/>
    <n v="1"/>
    <s v="Plutôt"/>
  </r>
  <r>
    <n v="184565396"/>
    <d v="2025-07-23T11:41:21"/>
    <s v="10082552638"/>
    <n v="76"/>
    <x v="0"/>
    <x v="1"/>
    <s v="Client"/>
    <s v="Mobile"/>
    <d v="2025-07-22T00:00:00"/>
    <d v="2025-07-22T09:57:00"/>
    <x v="5"/>
    <x v="1"/>
    <s v="03d40395a22c2e2c"/>
    <s v="Appel_automatise"/>
    <s v="Illuin_Explication_Facture"/>
    <n v="5"/>
    <s v="L accueil"/>
    <m/>
    <x v="1"/>
    <n v="0"/>
    <n v="1"/>
    <n v="1"/>
    <s v="Plutôt pas"/>
  </r>
  <r>
    <n v="184565390"/>
    <d v="2025-07-23T11:41:21"/>
    <s v="10061833373"/>
    <n v="49"/>
    <x v="5"/>
    <x v="1"/>
    <s v="Client"/>
    <s v="Mobile"/>
    <d v="2025-07-22T00:00:00"/>
    <d v="2025-07-22T10:41:00"/>
    <x v="13"/>
    <x v="1"/>
    <s v="03d10395a23494f1"/>
    <s v="Appel_automatise"/>
    <s v="Illuin_Code_PUK"/>
    <n v="1"/>
    <m/>
    <s v="Ma demande nécessitait un échange avec une vraie personne,Je n’arrivais pas à revenir en arrière pour modifier mes réponses"/>
    <x v="1"/>
    <n v="0"/>
    <n v="1"/>
    <n v="0"/>
    <s v="Pas du tout"/>
  </r>
  <r>
    <n v="184376524"/>
    <d v="2025-07-22T11:22:46"/>
    <s v="10084447342"/>
    <n v="59"/>
    <x v="1"/>
    <x v="1"/>
    <s v="Client"/>
    <s v="Mobile"/>
    <d v="2025-07-21T00:00:00"/>
    <d v="2025-07-21T00:02:00"/>
    <x v="1"/>
    <x v="0"/>
    <s v="03d10395a2327b87"/>
    <s v="Appel_automatise"/>
    <s v="Illuin_Code_PUK"/>
    <n v="5"/>
    <s v="La réactivité, la précision des réponses apportées et le professionnalisme de la personnes qui a répondu à nos questions"/>
    <m/>
    <x v="2"/>
    <n v="0"/>
    <n v="1"/>
    <n v="0"/>
    <s v="Tout à fait"/>
  </r>
  <r>
    <n v="184376514"/>
    <d v="2025-07-22T11:22:46"/>
    <s v="10060538530"/>
    <n v="63"/>
    <x v="2"/>
    <x v="0"/>
    <s v="Client"/>
    <s v="Mobile"/>
    <d v="2025-07-21T00:00:00"/>
    <d v="2025-07-21T00:53:00"/>
    <x v="1"/>
    <x v="0"/>
    <s v="03d40395a22a2e76"/>
    <s v="Appel_automatise"/>
    <s v="Illuin_Explication_Facture"/>
    <n v="2"/>
    <s v="C'est bien, mais malheureusement la boîte vocale pouvait pas m'apporter ma réponse"/>
    <s v="Ma demande nécessitait un échange avec une vraie personne,Je n’apprécie pas ce type d’interaction par principe"/>
    <x v="1"/>
    <n v="0"/>
    <n v="0"/>
    <n v="0"/>
    <s v="Tout à fait"/>
  </r>
  <r>
    <n v="184376499"/>
    <d v="2025-07-22T11:22:46"/>
    <s v="10035721251"/>
    <n v="69"/>
    <x v="2"/>
    <x v="0"/>
    <s v="Client"/>
    <s v="Mobile"/>
    <d v="2025-07-21T00:00:00"/>
    <d v="2025-07-21T02:12:00"/>
    <x v="3"/>
    <x v="0"/>
    <s v="03d10395a232b9cd"/>
    <s v="Appel_automatise"/>
    <s v="Illuin_Explication_Facture"/>
    <n v="2"/>
    <s v="Peu convaincant, ma consommation m'interpelle !! 2 versions différentes entre la consultation appli et l'assistance à revoir.."/>
    <s v="Ma demande nécessitait un échange avec une vraie personne,Je n’apprécie pas ce type d’interaction par principe"/>
    <x v="1"/>
    <n v="0"/>
    <n v="1"/>
    <n v="1"/>
    <s v="Plutôt pas"/>
  </r>
  <r>
    <n v="184376495"/>
    <d v="2025-07-22T11:22:46"/>
    <s v="10085034397"/>
    <n v="53"/>
    <x v="1"/>
    <x v="1"/>
    <s v="Client"/>
    <s v="Mobile"/>
    <d v="2025-07-21T00:00:00"/>
    <d v="2025-07-21T02:25:00"/>
    <x v="3"/>
    <x v="0"/>
    <s v="03d10395a232c0ec"/>
    <s v="Appel_automatise"/>
    <s v="Illuin_Explication_Facture"/>
    <n v="1"/>
    <s v="Il veulent augmenter ma facture l'or que vous avez des abonnements moins moins cher je pense résilié"/>
    <s v="Ma demande nécessitait un échange avec une vraie personne"/>
    <x v="1"/>
    <n v="0"/>
    <n v="1"/>
    <n v="0"/>
    <s v="Pas du tout"/>
  </r>
  <r>
    <n v="184376492"/>
    <d v="2025-07-22T11:22:46"/>
    <s v="10079309634"/>
    <n v="78"/>
    <x v="0"/>
    <x v="0"/>
    <s v="Client"/>
    <s v="Mobile"/>
    <d v="2025-07-21T00:00:00"/>
    <d v="2025-07-21T02:36:00"/>
    <x v="3"/>
    <x v="0"/>
    <s v="03d10395a232c792"/>
    <s v="Appel_automatise"/>
    <s v="Illuin_Explication_Facture"/>
    <n v="5"/>
    <s v="Très bien renseigné"/>
    <m/>
    <x v="1"/>
    <n v="0"/>
    <n v="1"/>
    <n v="1"/>
    <s v="Plutôt pas"/>
  </r>
  <r>
    <n v="184376487"/>
    <d v="2025-07-22T11:22:46"/>
    <s v="10087757651"/>
    <n v="41"/>
    <x v="5"/>
    <x v="0"/>
    <s v="Client"/>
    <s v="Mobile"/>
    <d v="2025-07-21T00:00:00"/>
    <d v="2025-07-21T02:56:00"/>
    <x v="3"/>
    <x v="0"/>
    <s v="03d10395a232d1dc"/>
    <s v="Appel_automatise"/>
    <s v="Illuin_Explication_Facture"/>
    <n v="2"/>
    <m/>
    <m/>
    <x v="0"/>
    <m/>
    <m/>
    <m/>
    <s v="Plutôt pas"/>
  </r>
  <r>
    <n v="184376485"/>
    <d v="2025-07-22T11:22:46"/>
    <s v="10090816633"/>
    <n v="62"/>
    <x v="2"/>
    <x v="1"/>
    <s v="Client"/>
    <s v="Mobile"/>
    <d v="2025-07-21T00:00:00"/>
    <d v="2025-07-21T03:03:00"/>
    <x v="4"/>
    <x v="0"/>
    <s v="03d10395a232d567"/>
    <s v="Appel_automatise"/>
    <s v="Illuin_Explication_Facture"/>
    <n v="5"/>
    <s v="Tout"/>
    <m/>
    <x v="1"/>
    <n v="1"/>
    <n v="0"/>
    <n v="1"/>
    <s v="Pas du tout"/>
  </r>
  <r>
    <n v="184376468"/>
    <d v="2025-07-22T11:22:46"/>
    <s v="10079677514"/>
    <n v="48"/>
    <x v="5"/>
    <x v="1"/>
    <s v="Client"/>
    <s v="Mobile"/>
    <d v="2025-07-21T00:00:00"/>
    <d v="2025-07-21T04:16:00"/>
    <x v="9"/>
    <x v="0"/>
    <s v="03d40395a22a94ac"/>
    <s v="Appel_automatise"/>
    <s v="Illuin_Explication_Facture"/>
    <n v="1"/>
    <m/>
    <s v="&quot;Les échanges étaient hors sujet, ma demande n’a pas été comprise&quot;,Ma demande nécessitait un échange avec une vraie personne,Je n’apprécie pas ce type d’interaction par principe"/>
    <x v="1"/>
    <n v="0"/>
    <n v="1"/>
    <n v="1"/>
    <s v="Plutôt pas"/>
  </r>
  <r>
    <n v="184376424"/>
    <d v="2025-07-22T11:22:46"/>
    <s v="10082073174"/>
    <n v="66"/>
    <x v="2"/>
    <x v="1"/>
    <s v="Client"/>
    <s v="Mobile"/>
    <d v="2025-07-21T00:00:00"/>
    <d v="2025-07-21T08:08:00"/>
    <x v="12"/>
    <x v="1"/>
    <s v="03d10395a23358d2"/>
    <s v="Appel_automatise"/>
    <s v="Illuin_Explication_Facture"/>
    <n v="5"/>
    <s v="Conseillère très gentille et très a l'écoute merci encore !!"/>
    <m/>
    <x v="2"/>
    <n v="0"/>
    <n v="1"/>
    <n v="0"/>
    <s v="Pas du tout"/>
  </r>
  <r>
    <n v="184376407"/>
    <d v="2025-07-22T11:22:46"/>
    <s v="10083503008"/>
    <n v="76"/>
    <x v="0"/>
    <x v="1"/>
    <s v="Client"/>
    <s v="Mobile"/>
    <d v="2025-07-21T00:00:00"/>
    <d v="2025-07-21T09:30:00"/>
    <x v="5"/>
    <x v="1"/>
    <s v="03d10395a2337b89"/>
    <s v="Appel_automatise"/>
    <s v="Illuin_Explication_Facture"/>
    <n v="1"/>
    <s v="Pas de conseiller en ligne...problème de facturation suite à mon voyage aux USA"/>
    <s v="&quot;Les échanges étaient hors sujet, ma demande n’a pas été comprise&quot;,Ma demande nécessitait un échange avec une vraie personne,Je n’apprécie pas ce type d’interaction par principe"/>
    <x v="1"/>
    <n v="1"/>
    <n v="1"/>
    <n v="1"/>
    <s v="Pas du tout"/>
  </r>
  <r>
    <n v="184376400"/>
    <d v="2025-07-22T11:22:46"/>
    <s v="10039876903"/>
    <n v="36"/>
    <x v="4"/>
    <x v="1"/>
    <s v="Client"/>
    <s v="Mobile"/>
    <d v="2025-07-21T00:00:00"/>
    <d v="2025-07-21T10:09:00"/>
    <x v="13"/>
    <x v="1"/>
    <s v="03d10395a23388c7"/>
    <s v="Appel_automatise"/>
    <s v="Illuin_Explication_Facture"/>
    <n v="5"/>
    <m/>
    <m/>
    <x v="3"/>
    <m/>
    <m/>
    <m/>
    <m/>
  </r>
  <r>
    <n v="184376378"/>
    <d v="2025-07-22T11:22:46"/>
    <s v="10087990944"/>
    <n v="47"/>
    <x v="5"/>
    <x v="0"/>
    <s v="Client"/>
    <s v="Mobile"/>
    <d v="2025-07-21T00:00:00"/>
    <d v="2025-07-21T13:37:00"/>
    <x v="11"/>
    <x v="1"/>
    <s v="03d10395a2339dfa"/>
    <s v="Appel_automatise"/>
    <s v="Illuin_Code_PUK"/>
    <n v="5"/>
    <s v="Efficacité pour résoudre mon probleme👍"/>
    <m/>
    <x v="0"/>
    <n v="0"/>
    <n v="1"/>
    <n v="1"/>
    <s v="Plutôt"/>
  </r>
  <r>
    <n v="183888748"/>
    <d v="2025-07-18T12:23:58"/>
    <s v="10086322697"/>
    <n v="67"/>
    <x v="2"/>
    <x v="0"/>
    <s v="Client"/>
    <s v="Mobile"/>
    <d v="2025-07-17T00:00:00"/>
    <d v="2025-07-16T22:52:00"/>
    <x v="0"/>
    <x v="0"/>
    <s v="03d303950b35b469"/>
    <s v="Appel_automatise"/>
    <s v="Illuin_Explication_Facture"/>
    <n v="5"/>
    <m/>
    <m/>
    <x v="2"/>
    <n v="0"/>
    <n v="1"/>
    <n v="0"/>
    <s v="Tout à fait"/>
  </r>
  <r>
    <n v="183888746"/>
    <d v="2025-07-18T12:23:58"/>
    <s v="10086136684"/>
    <n v="70"/>
    <x v="0"/>
    <x v="0"/>
    <s v="Client"/>
    <s v="Mobile"/>
    <d v="2025-07-17T00:00:00"/>
    <d v="2025-07-16T23:03:00"/>
    <x v="10"/>
    <x v="0"/>
    <s v="03d303950b35b767"/>
    <s v="Appel_automatise"/>
    <s v="Illuin_Explication_Facture"/>
    <n v="4"/>
    <s v="Précision du site suite à la demande exprimée."/>
    <s v="Ma demande nécessitait un échange avec une vraie personne"/>
    <x v="2"/>
    <n v="0"/>
    <n v="1"/>
    <n v="1"/>
    <s v="Tout à fait"/>
  </r>
  <r>
    <n v="183888680"/>
    <d v="2025-07-18T12:23:58"/>
    <s v="10083475568"/>
    <n v="64"/>
    <x v="2"/>
    <x v="0"/>
    <s v="Client"/>
    <s v="Mobile"/>
    <d v="2025-07-17T00:00:00"/>
    <d v="2025-07-17T04:17:00"/>
    <x v="9"/>
    <x v="0"/>
    <s v="03d203950b1fa1af"/>
    <s v="Appel_automatise"/>
    <s v="Illuin_Explication_Facture"/>
    <n v="4"/>
    <s v="Professionnels et à écoute"/>
    <m/>
    <x v="2"/>
    <n v="0"/>
    <n v="1"/>
    <n v="1"/>
    <s v="Plutôt"/>
  </r>
  <r>
    <n v="183888652"/>
    <d v="2025-07-18T12:23:58"/>
    <s v="10085297981"/>
    <n v="62"/>
    <x v="2"/>
    <x v="1"/>
    <s v="Client"/>
    <s v="Mobile"/>
    <d v="2025-07-17T00:00:00"/>
    <d v="2025-07-17T08:07:00"/>
    <x v="12"/>
    <x v="1"/>
    <m/>
    <s v="Appel_automatise"/>
    <s v="Illuin_Explication_Facture"/>
    <n v="5"/>
    <s v="Très bien expliquer"/>
    <m/>
    <x v="0"/>
    <n v="0"/>
    <n v="1"/>
    <n v="1"/>
    <s v="Plutôt"/>
  </r>
  <r>
    <n v="183888650"/>
    <d v="2025-07-18T12:23:58"/>
    <s v="10055481125"/>
    <n v="73"/>
    <x v="0"/>
    <x v="1"/>
    <s v="Client"/>
    <s v="Mobile"/>
    <d v="2025-07-17T00:00:00"/>
    <d v="2025-07-17T08:27:00"/>
    <x v="12"/>
    <x v="1"/>
    <m/>
    <s v="Appel_automatise"/>
    <s v="Illuin_Explication_Facture"/>
    <n v="2"/>
    <s v="La facture de téléphone à payer"/>
    <s v="Ma demande nécessitait un échange avec une vraie personne"/>
    <x v="0"/>
    <n v="0"/>
    <n v="0"/>
    <n v="1"/>
    <s v="Pas du tout"/>
  </r>
  <r>
    <n v="183888647"/>
    <d v="2025-07-18T12:23:58"/>
    <s v="10077389681"/>
    <n v="40"/>
    <x v="5"/>
    <x v="1"/>
    <s v="Client"/>
    <s v="Mobile"/>
    <d v="2025-07-17T00:00:00"/>
    <d v="2025-07-17T08:45:00"/>
    <x v="12"/>
    <x v="1"/>
    <m/>
    <s v="Appel_automatise"/>
    <s v="Illuin_Explication_Facture"/>
    <n v="1"/>
    <s v="Non"/>
    <s v="&quot;Les échanges étaient hors sujet, ma demande n’a pas été comprise&quot;"/>
    <x v="1"/>
    <n v="0"/>
    <n v="1"/>
    <n v="1"/>
    <s v="Pas du tout"/>
  </r>
  <r>
    <n v="183888633"/>
    <d v="2025-07-18T12:23:58"/>
    <s v="10079020292"/>
    <n v="61"/>
    <x v="2"/>
    <x v="1"/>
    <s v="Client"/>
    <s v="Mobile"/>
    <d v="2025-07-17T00:00:00"/>
    <d v="2025-07-17T10:43:00"/>
    <x v="13"/>
    <x v="1"/>
    <m/>
    <s v="Appel_automatise"/>
    <s v="Illuin_Explication_Facture"/>
    <n v="5"/>
    <s v="La conseillère a pris le temps d'écouter ma demande. Elle a apporté la réponse à ma question après avoir effectué des recherches"/>
    <m/>
    <x v="1"/>
    <n v="0"/>
    <n v="1"/>
    <n v="0"/>
    <s v="Plutôt pas"/>
  </r>
  <r>
    <n v="183888631"/>
    <d v="2025-07-18T12:23:58"/>
    <s v="10071184024"/>
    <n v="41"/>
    <x v="5"/>
    <x v="1"/>
    <s v="Client"/>
    <s v="Mobile"/>
    <d v="2025-07-17T00:00:00"/>
    <d v="2025-07-17T10:45:00"/>
    <x v="13"/>
    <x v="1"/>
    <m/>
    <s v="Appel_automatise"/>
    <s v="Illuin_Explication_Facture"/>
    <n v="1"/>
    <m/>
    <s v="Ma demande nécessitait un échange avec une vraie personne"/>
    <x v="1"/>
    <n v="0"/>
    <n v="1"/>
    <n v="0"/>
    <s v="Pas du tout"/>
  </r>
  <r>
    <n v="183888628"/>
    <d v="2025-07-18T12:23:58"/>
    <s v="10056415029"/>
    <n v="62"/>
    <x v="2"/>
    <x v="0"/>
    <s v="Client"/>
    <s v="Mobile"/>
    <d v="2025-07-17T00:00:00"/>
    <d v="2025-07-17T11:12:00"/>
    <x v="14"/>
    <x v="1"/>
    <m/>
    <s v="Appel_automatise"/>
    <s v="Illuin_Explication_Facture"/>
    <n v="1"/>
    <s v="Je pense que les informations des clients sont pris comme non compris et que l on nous prend pour des billets de banque aucune compassion juste vous dire vous,aviez qu'à faire attention même comme ancien client je suis déçu de Bouygues je pense changer de fournisseur."/>
    <s v="&quot;Les échanges étaient hors sujet, ma demande n’a pas été comprise&quot;,Ma demande nécessitait un échange avec une vraie personne,Je n’apprécie pas ce type d’interaction par principe,Les échanges étaient trop longs,Je n’étais pas en mesure de répondre aux questions qui m’étaient posées"/>
    <x v="1"/>
    <n v="1"/>
    <n v="0"/>
    <n v="1"/>
    <s v="Pas du tout"/>
  </r>
  <r>
    <n v="183888627"/>
    <d v="2025-07-18T12:23:58"/>
    <s v="10083786584"/>
    <n v="43"/>
    <x v="5"/>
    <x v="1"/>
    <s v="Client"/>
    <s v="Mobile"/>
    <d v="2025-07-17T00:00:00"/>
    <d v="2025-07-17T11:20:00"/>
    <x v="14"/>
    <x v="1"/>
    <m/>
    <s v="Appel_automatise"/>
    <s v="Illuin_Explication_Facture"/>
    <n v="1"/>
    <s v="Bonjour c'est inadmissible de me changer mon forfait à 13.99 euros par mois et la sur ma facture de juin vous me facturer à 21.99 euros pourquoi ? Qui vous a autorisé ? Et depuis quand j'ai une boxe ? C'est brailent une blague ça fait plusieurs années que je suis cliente chez vous et 3 fois que ce genre de situation arrive. Je vais devoir mettre un terme à mes lignes et voir un autre opérateur"/>
    <m/>
    <x v="3"/>
    <m/>
    <m/>
    <m/>
    <m/>
  </r>
  <r>
    <n v="183498568"/>
    <d v="2025-07-16T14:44:37"/>
    <s v="10090724191"/>
    <n v="49"/>
    <x v="5"/>
    <x v="0"/>
    <s v="Client"/>
    <s v="Mobile"/>
    <d v="2025-07-09T00:00:00"/>
    <d v="2025-07-09T00:14:00"/>
    <x v="1"/>
    <x v="0"/>
    <m/>
    <s v="Appel_automatise"/>
    <s v="Illuin_Explication_Facture"/>
    <n v="4"/>
    <m/>
    <s v="Les échanges étaient trop longs,Je n’étais pas en mesure de répondre aux questions qui m’étaient posées"/>
    <x v="2"/>
    <n v="1"/>
    <n v="1"/>
    <n v="1"/>
    <s v="Tout à fai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6D1322-A427-4110-BB95-EECF2C48B540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>
  <location ref="A42:C47" firstHeaderRow="0" firstDataRow="1" firstDataCol="1"/>
  <pivotFields count="23">
    <pivotField showAll="0"/>
    <pivotField numFmtId="22" showAll="0"/>
    <pivotField dataField="1"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numFmtId="14" showAll="0"/>
    <pivotField numFmtId="22" showAll="0"/>
    <pivotField numFmtId="2"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Nombre de Compte de Service" fld="2" subtotal="count" baseField="0" baseItem="0"/>
    <dataField name="Moyenne de Satisfaction" fld="15" subtotal="average" baseField="4" baseItem="1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A26FB2-4EF9-4785-9FC6-D1735508E6AF}" name="Tableau croisé dynamique7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9">
  <location ref="A22:C38" firstHeaderRow="0" firstDataRow="1" firstDataCol="1" rowPageCount="1" colPageCount="1"/>
  <pivotFields count="23">
    <pivotField showAll="0"/>
    <pivotField numFmtId="22" showAll="0"/>
    <pivotField dataField="1"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numFmtId="14" showAll="0"/>
    <pivotField numFmtId="22" showAll="0"/>
    <pivotField axis="axisRow" numFmtId="2" showAll="0">
      <items count="16">
        <item x="1"/>
        <item x="2"/>
        <item x="3"/>
        <item x="4"/>
        <item x="9"/>
        <item x="6"/>
        <item x="7"/>
        <item x="8"/>
        <item x="12"/>
        <item x="5"/>
        <item x="13"/>
        <item x="14"/>
        <item x="11"/>
        <item x="0"/>
        <item x="10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pageFields count="1">
    <pageField fld="11" hier="-1"/>
  </pageFields>
  <dataFields count="2">
    <dataField name="Nombre de Compte de Service" fld="2" subtotal="count" baseField="0" baseItem="0"/>
    <dataField name="Moyenne de Satisfaction" fld="15" subtotal="average" baseField="4" baseItem="1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E085EC-C024-47AB-9720-27EE903640F3}" name="Tableau croisé dynamique6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>
  <location ref="A14:C17" firstHeaderRow="0" firstDataRow="1" firstDataCol="1"/>
  <pivotFields count="23">
    <pivotField showAll="0"/>
    <pivotField numFmtId="22"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14" showAll="0"/>
    <pivotField numFmtId="22" showAll="0"/>
    <pivotField numFmtId="2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ombre de Compte de Service" fld="2" subtotal="count" baseField="0" baseItem="0"/>
    <dataField name="Moyenne de Satisfaction" fld="15" subtotal="average" baseField="4" baseItem="1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591C02-B25C-4A97-88A3-0726A627382A}" name="Tableau croisé dynamique5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">
  <location ref="A3:C10" firstHeaderRow="0" firstDataRow="1" firstDataCol="1"/>
  <pivotFields count="23">
    <pivotField showAll="0"/>
    <pivotField numFmtId="22" showAll="0"/>
    <pivotField dataField="1" showAll="0"/>
    <pivotField showAll="0"/>
    <pivotField axis="axisRow" showAll="0">
      <items count="7">
        <item x="4"/>
        <item x="5"/>
        <item x="1"/>
        <item x="2"/>
        <item x="0"/>
        <item x="3"/>
        <item t="default"/>
      </items>
    </pivotField>
    <pivotField showAll="0"/>
    <pivotField showAll="0"/>
    <pivotField showAll="0"/>
    <pivotField numFmtId="14" showAll="0"/>
    <pivotField numFmtId="22" showAll="0"/>
    <pivotField numFmtId="2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Nombre de Compte de Service" fld="2" subtotal="count" baseField="0" baseItem="0"/>
    <dataField name="Moyenne de Satisfaction" fld="15" subtotal="average" baseField="4" baseItem="1"/>
  </dataFields>
  <formats count="1">
    <format dxfId="9">
      <pivotArea collapsedLevelsAreSubtotals="1" fieldPosition="0">
        <references count="2">
          <reference field="4294967294" count="1" selected="0">
            <x v="1"/>
          </reference>
          <reference field="4" count="0"/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DF380D-7DF3-4770-B163-3C3654A8A48F}" name="Tableau3" displayName="Tableau3" ref="A1:C8" totalsRowShown="0">
  <autoFilter ref="A1:C8" xr:uid="{30DF380D-7DF3-4770-B163-3C3654A8A48F}"/>
  <tableColumns count="3">
    <tableColumn id="1" xr3:uid="{CFA98100-42E6-4175-B4BD-A57185BAAA20}" name="Data"/>
    <tableColumn id="2" xr3:uid="{B8B609A1-40B0-436C-9673-2709183922C9}" name="Age"/>
    <tableColumn id="3" xr3:uid="{0C388FBD-8A6E-40CF-8872-025CD6A522BE}" nam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0A125B-6E8E-442F-8B29-C68ED6F11CC1}" name="Tableau4" displayName="Tableau4" ref="A12:C15" totalsRowCount="1">
  <autoFilter ref="A12:C14" xr:uid="{710A125B-6E8E-442F-8B29-C68ED6F11CC1}"/>
  <tableColumns count="3">
    <tableColumn id="1" xr3:uid="{41B877C4-AF99-4AA1-AEFC-36F5200DCEBB}" name="Genre" totalsRowLabel="Total"/>
    <tableColumn id="2" xr3:uid="{D8E0737F-9A7C-4E93-A3CB-9F892656BB80}" name="Répartition" totalsRowFunction="sum">
      <calculatedColumnFormula>COUNTIF(Data_Illuin[Civilité],"Mme.")</calculatedColumnFormula>
    </tableColumn>
    <tableColumn id="3" xr3:uid="{14DC569A-FABC-4B21-81A9-20951EC88561}" name="Fréquence" totalsRowFunction="sum" dataDxfId="12" totalsRowDxfId="11" dataCellStyle="Pourcentage" totalsRowCellStyle="Pourcentage">
      <calculatedColumnFormula>B13/SUM($B$13:$B$14)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BF3C80-469F-4813-A1C0-A16309B4FBE3}" name="Tableau5" displayName="Tableau5" ref="A17:B19" totalsRowShown="0">
  <autoFilter ref="A17:B19" xr:uid="{FABF3C80-469F-4813-A1C0-A16309B4FBE3}"/>
  <tableColumns count="2">
    <tableColumn id="1" xr3:uid="{ACA17D3A-C5F9-4F81-B3B8-369115E9F697}" name="Colonne1"/>
    <tableColumn id="2" xr3:uid="{8CC2536E-59CD-4891-8D20-3DB288674049}" name="EAC Moyen" dataDxfId="10">
      <calculatedColumnFormula>AVERAGEIF(Data_Illuin[Age],"&gt;="&amp;50,Data_Illuin[Satisfaction])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19CF8-0279-4E55-9C11-440E2E777BA4}" name="Data_Illuin" displayName="Data_Illuin" ref="A3:P70" totalsRowShown="0" headerRowDxfId="8">
  <autoFilter ref="A3:P70" xr:uid="{E8A19CF8-0279-4E55-9C11-440E2E777BA4}"/>
  <tableColumns count="16">
    <tableColumn id="1" xr3:uid="{C5D01CC3-C259-4DEB-9345-89EF659EEADF}" name="ID d’enquête"/>
    <tableColumn id="2" xr3:uid="{0300D488-F487-4588-BEA8-4EF99FB73474}" name="Date locale de création" dataDxfId="7"/>
    <tableColumn id="4" xr3:uid="{460C95C8-9CAC-4D25-8611-388CF9E5DF9D}" name="Compte de Service" dataDxfId="6" dataCellStyle="Milliers"/>
    <tableColumn id="5" xr3:uid="{BB4D589C-9057-4A15-B2CA-BE47E0ECE9A2}" name="Age" dataDxfId="5" dataCellStyle="Milliers"/>
    <tableColumn id="38" xr3:uid="{71E06FF0-3BC6-4EA9-AEB5-BF5EDB0423E1}" name="Age_CAT" dataDxfId="4" dataCellStyle="Milliers">
      <calculatedColumnFormula array="1">_xlfn.IFS(Data_Illuin[[#This Row],[Age]]&lt;40,"[0;40[",Data_Illuin[[#This Row],[Age]]&lt;50,"[40;50[",Data_Illuin[[#This Row],[Age]]&lt;60,"[50;60[",Data_Illuin[[#This Row],[Age]]&lt;70,"[60;70[",Data_Illuin[[#This Row],[Age]]&lt;80,"[70;80[",TRUE,"[80;+]")</calculatedColumnFormula>
    </tableColumn>
    <tableColumn id="6" xr3:uid="{AC3ADC2B-D481-47A9-8224-603B8E0DE8C4}" name="Civilité"/>
    <tableColumn id="7" xr3:uid="{D03E70BB-6C8D-4696-893B-0685FEF995E3}" name="Flag Prospect"/>
    <tableColumn id="8" xr3:uid="{F69D6BF0-CC97-465B-9789-D39FFCD1E4A1}" name="Fixe/Mobile"/>
    <tableColumn id="13" xr3:uid="{45091A2D-DD89-4FA8-8DFD-EEB22EE47CC3}" name="Date contact / evenement" dataDxfId="3"/>
    <tableColumn id="14" xr3:uid="{E3873FA7-6D6E-474B-B33D-87488F53E90A}" name="Date/heure contact" dataDxfId="2"/>
    <tableColumn id="39" xr3:uid="{EDA877B9-93F6-47A4-B96A-C361BDCEE580}" name="Colonne1" dataDxfId="1">
      <calculatedColumnFormula>TRUNC((J4-INT(Data_Illuin[[#This Row],[Date/heure contact]]))*24,0)</calculatedColumnFormula>
    </tableColumn>
    <tableColumn id="40" xr3:uid="{B6BA8039-1386-4326-8D3C-3D70C76BC8DA}" name="Ho" dataDxfId="0">
      <calculatedColumnFormula>IF(AND(Data_Illuin[[#This Row],[Colonne1]]&gt;=8,Data_Illuin[[#This Row],[Colonne1]]&lt;=19),TRUE,FALSE)</calculatedColumnFormula>
    </tableColumn>
    <tableColumn id="18" xr3:uid="{FDFEAD05-9C46-4BF5-AAD2-FDC059260519}" name="ID d'appel CTI"/>
    <tableColumn id="22" xr3:uid="{311EB99D-A3E5-4990-9483-7D91ED244904}" name="Unit"/>
    <tableColumn id="28" xr3:uid="{F4840851-169E-493F-AED3-07F76DE729EA}" name="Libre 2"/>
    <tableColumn id="29" xr3:uid="{B09F1882-8FE5-4FC9-A92B-21AD9ADF9A32}" name="Satisf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C714-39FB-4C62-92FC-9F153F320A21}">
  <dimension ref="A1:C19"/>
  <sheetViews>
    <sheetView tabSelected="1" workbookViewId="0">
      <selection activeCell="C24" sqref="C24"/>
    </sheetView>
  </sheetViews>
  <sheetFormatPr baseColWidth="10" defaultRowHeight="15" x14ac:dyDescent="0.25"/>
  <cols>
    <col min="1" max="1" width="11.85546875" customWidth="1"/>
    <col min="2" max="2" width="13.28515625" customWidth="1"/>
    <col min="3" max="3" width="12.7109375" customWidth="1"/>
  </cols>
  <sheetData>
    <row r="1" spans="1:3" x14ac:dyDescent="0.25">
      <c r="A1" t="s">
        <v>153</v>
      </c>
      <c r="B1" t="s">
        <v>124</v>
      </c>
      <c r="C1" t="s">
        <v>154</v>
      </c>
    </row>
    <row r="2" spans="1:3" x14ac:dyDescent="0.25">
      <c r="A2" t="s">
        <v>155</v>
      </c>
      <c r="B2">
        <f>MIN(Data_Illuin[Age])</f>
        <v>23</v>
      </c>
      <c r="C2">
        <f>MIN(Data_Illuin[Satisfaction])</f>
        <v>1</v>
      </c>
    </row>
    <row r="3" spans="1:3" x14ac:dyDescent="0.25">
      <c r="A3" t="s">
        <v>156</v>
      </c>
      <c r="B3">
        <f>MAX(Data_Illuin[Age])</f>
        <v>85</v>
      </c>
      <c r="C3">
        <f>MAX(Data_Illuin[Satisfaction])</f>
        <v>5</v>
      </c>
    </row>
    <row r="4" spans="1:3" x14ac:dyDescent="0.25">
      <c r="A4" t="s">
        <v>158</v>
      </c>
      <c r="B4">
        <f>MEDIAN(Data_Illuin[Age])</f>
        <v>61</v>
      </c>
      <c r="C4">
        <f>MEDIAN(Data_Illuin[Satisfaction])</f>
        <v>4</v>
      </c>
    </row>
    <row r="5" spans="1:3" x14ac:dyDescent="0.25">
      <c r="A5" t="s">
        <v>160</v>
      </c>
      <c r="B5">
        <f>QUARTILE(Data_Illuin[Age],1)</f>
        <v>49</v>
      </c>
      <c r="C5">
        <f>QUARTILE(Data_Illuin[Satisfaction],1)</f>
        <v>1</v>
      </c>
    </row>
    <row r="6" spans="1:3" x14ac:dyDescent="0.25">
      <c r="A6" t="s">
        <v>157</v>
      </c>
      <c r="B6" s="9">
        <f>AVERAGE(Data_Illuin[Age])</f>
        <v>58.492537313432834</v>
      </c>
      <c r="C6" s="9">
        <f>AVERAGE(Data_Illuin[Satisfaction])</f>
        <v>3.1940298507462686</v>
      </c>
    </row>
    <row r="7" spans="1:3" x14ac:dyDescent="0.25">
      <c r="A7" t="s">
        <v>161</v>
      </c>
      <c r="B7">
        <f>QUARTILE(Data_Illuin[Age],3)</f>
        <v>69</v>
      </c>
      <c r="C7">
        <f>QUARTILE(Data_Illuin[Satisfaction],3)</f>
        <v>5</v>
      </c>
    </row>
    <row r="8" spans="1:3" x14ac:dyDescent="0.25">
      <c r="A8" t="s">
        <v>159</v>
      </c>
      <c r="B8" s="9">
        <f>_xlfn.STDEV.S(Data_Illuin[Age])</f>
        <v>13.991743381667456</v>
      </c>
      <c r="C8" s="9">
        <f>_xlfn.STDEV.S(Data_Illuin[Satisfaction])</f>
        <v>1.7772877358675294</v>
      </c>
    </row>
    <row r="12" spans="1:3" x14ac:dyDescent="0.25">
      <c r="A12" t="s">
        <v>172</v>
      </c>
      <c r="B12" t="s">
        <v>173</v>
      </c>
      <c r="C12" t="s">
        <v>176</v>
      </c>
    </row>
    <row r="13" spans="1:3" x14ac:dyDescent="0.25">
      <c r="A13" t="s">
        <v>174</v>
      </c>
      <c r="B13">
        <f>COUNTIF(Data_Illuin[Civilité],"M.")</f>
        <v>31</v>
      </c>
      <c r="C13" s="12">
        <f>B13/SUM($B$13:$B$14)</f>
        <v>0.46268656716417911</v>
      </c>
    </row>
    <row r="14" spans="1:3" x14ac:dyDescent="0.25">
      <c r="A14" t="s">
        <v>175</v>
      </c>
      <c r="B14">
        <f>COUNTIF(Data_Illuin[Civilité],"Mme.")</f>
        <v>36</v>
      </c>
      <c r="C14" s="12">
        <f>B14/SUM($B$13:$B$14)</f>
        <v>0.53731343283582089</v>
      </c>
    </row>
    <row r="15" spans="1:3" x14ac:dyDescent="0.25">
      <c r="A15" t="s">
        <v>177</v>
      </c>
      <c r="B15">
        <f>SUBTOTAL(109,Tableau4[Répartition])</f>
        <v>67</v>
      </c>
      <c r="C15" s="13">
        <f>SUBTOTAL(109,Tableau4[Fréquence])</f>
        <v>1</v>
      </c>
    </row>
    <row r="17" spans="1:2" x14ac:dyDescent="0.25">
      <c r="A17" t="s">
        <v>151</v>
      </c>
      <c r="B17" t="s">
        <v>180</v>
      </c>
    </row>
    <row r="18" spans="1:2" x14ac:dyDescent="0.25">
      <c r="A18" t="s">
        <v>178</v>
      </c>
      <c r="B18" s="9">
        <f>AVERAGEIF(Data_Illuin[Age],"&lt;"&amp;50,Data_Illuin[Satisfaction])</f>
        <v>2.3888888888888888</v>
      </c>
    </row>
    <row r="19" spans="1:2" x14ac:dyDescent="0.25">
      <c r="A19" t="s">
        <v>179</v>
      </c>
      <c r="B19" s="9">
        <f>AVERAGEIF(Data_Illuin[Age],"&gt;="&amp;50,Data_Illuin[Satisfaction])</f>
        <v>3.489795918367347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C495-1629-447B-9C03-7D1FF50C25C7}">
  <dimension ref="A3:C47"/>
  <sheetViews>
    <sheetView topLeftCell="A22" workbookViewId="0">
      <selection activeCell="B53" sqref="B53"/>
    </sheetView>
  </sheetViews>
  <sheetFormatPr baseColWidth="10" defaultRowHeight="15" x14ac:dyDescent="0.25"/>
  <cols>
    <col min="1" max="1" width="21.42578125" bestFit="1" customWidth="1"/>
    <col min="2" max="2" width="29" bestFit="1" customWidth="1"/>
    <col min="3" max="3" width="23.42578125" bestFit="1" customWidth="1"/>
  </cols>
  <sheetData>
    <row r="3" spans="1:3" x14ac:dyDescent="0.25">
      <c r="A3" s="10" t="s">
        <v>162</v>
      </c>
      <c r="B3" t="s">
        <v>170</v>
      </c>
      <c r="C3" t="s">
        <v>171</v>
      </c>
    </row>
    <row r="4" spans="1:3" x14ac:dyDescent="0.25">
      <c r="A4" s="11" t="s">
        <v>163</v>
      </c>
      <c r="B4">
        <v>6</v>
      </c>
      <c r="C4" s="9">
        <v>1.8333333333333333</v>
      </c>
    </row>
    <row r="5" spans="1:3" x14ac:dyDescent="0.25">
      <c r="A5" s="11" t="s">
        <v>164</v>
      </c>
      <c r="B5">
        <v>12</v>
      </c>
      <c r="C5" s="9">
        <v>2.6666666666666665</v>
      </c>
    </row>
    <row r="6" spans="1:3" x14ac:dyDescent="0.25">
      <c r="A6" s="11" t="s">
        <v>165</v>
      </c>
      <c r="B6">
        <v>14</v>
      </c>
      <c r="C6" s="9">
        <v>3.2142857142857144</v>
      </c>
    </row>
    <row r="7" spans="1:3" x14ac:dyDescent="0.25">
      <c r="A7" s="11" t="s">
        <v>166</v>
      </c>
      <c r="B7">
        <v>19</v>
      </c>
      <c r="C7" s="9">
        <v>3.3684210526315788</v>
      </c>
    </row>
    <row r="8" spans="1:3" x14ac:dyDescent="0.25">
      <c r="A8" s="11" t="s">
        <v>167</v>
      </c>
      <c r="B8">
        <v>14</v>
      </c>
      <c r="C8" s="9">
        <v>3.9285714285714284</v>
      </c>
    </row>
    <row r="9" spans="1:3" x14ac:dyDescent="0.25">
      <c r="A9" s="11" t="s">
        <v>168</v>
      </c>
      <c r="B9">
        <v>2</v>
      </c>
      <c r="C9" s="9">
        <v>3.5</v>
      </c>
    </row>
    <row r="10" spans="1:3" x14ac:dyDescent="0.25">
      <c r="A10" s="11" t="s">
        <v>169</v>
      </c>
      <c r="B10">
        <v>67</v>
      </c>
      <c r="C10">
        <v>3.1940298507462686</v>
      </c>
    </row>
    <row r="14" spans="1:3" x14ac:dyDescent="0.25">
      <c r="A14" s="10" t="s">
        <v>162</v>
      </c>
      <c r="B14" t="s">
        <v>170</v>
      </c>
      <c r="C14" t="s">
        <v>171</v>
      </c>
    </row>
    <row r="15" spans="1:3" x14ac:dyDescent="0.25">
      <c r="A15" s="11" t="s">
        <v>13</v>
      </c>
      <c r="B15">
        <v>31</v>
      </c>
      <c r="C15">
        <v>3.4838709677419355</v>
      </c>
    </row>
    <row r="16" spans="1:3" x14ac:dyDescent="0.25">
      <c r="A16" s="11" t="s">
        <v>20</v>
      </c>
      <c r="B16">
        <v>36</v>
      </c>
      <c r="C16">
        <v>2.9444444444444446</v>
      </c>
    </row>
    <row r="17" spans="1:3" x14ac:dyDescent="0.25">
      <c r="A17" s="11" t="s">
        <v>169</v>
      </c>
      <c r="B17">
        <v>67</v>
      </c>
      <c r="C17">
        <v>3.1940298507462686</v>
      </c>
    </row>
    <row r="20" spans="1:3" x14ac:dyDescent="0.25">
      <c r="A20" s="10" t="s">
        <v>181</v>
      </c>
      <c r="B20" t="s">
        <v>182</v>
      </c>
    </row>
    <row r="22" spans="1:3" x14ac:dyDescent="0.25">
      <c r="A22" s="10" t="s">
        <v>162</v>
      </c>
      <c r="B22" t="s">
        <v>170</v>
      </c>
      <c r="C22" t="s">
        <v>171</v>
      </c>
    </row>
    <row r="23" spans="1:3" x14ac:dyDescent="0.25">
      <c r="A23" s="14">
        <v>0</v>
      </c>
      <c r="B23">
        <v>9</v>
      </c>
      <c r="C23">
        <v>3</v>
      </c>
    </row>
    <row r="24" spans="1:3" x14ac:dyDescent="0.25">
      <c r="A24" s="14">
        <v>1</v>
      </c>
      <c r="B24">
        <v>7</v>
      </c>
      <c r="C24">
        <v>3.7142857142857144</v>
      </c>
    </row>
    <row r="25" spans="1:3" x14ac:dyDescent="0.25">
      <c r="A25" s="14">
        <v>2</v>
      </c>
      <c r="B25">
        <v>12</v>
      </c>
      <c r="C25">
        <v>3.0833333333333335</v>
      </c>
    </row>
    <row r="26" spans="1:3" x14ac:dyDescent="0.25">
      <c r="A26" s="14">
        <v>3</v>
      </c>
      <c r="B26">
        <v>4</v>
      </c>
      <c r="C26">
        <v>3.5</v>
      </c>
    </row>
    <row r="27" spans="1:3" x14ac:dyDescent="0.25">
      <c r="A27" s="14">
        <v>4</v>
      </c>
      <c r="B27">
        <v>5</v>
      </c>
      <c r="C27">
        <v>3.2</v>
      </c>
    </row>
    <row r="28" spans="1:3" x14ac:dyDescent="0.25">
      <c r="A28" s="14">
        <v>5</v>
      </c>
      <c r="B28">
        <v>2</v>
      </c>
      <c r="C28">
        <v>3</v>
      </c>
    </row>
    <row r="29" spans="1:3" x14ac:dyDescent="0.25">
      <c r="A29" s="14">
        <v>6</v>
      </c>
      <c r="B29">
        <v>4</v>
      </c>
      <c r="C29">
        <v>2</v>
      </c>
    </row>
    <row r="30" spans="1:3" x14ac:dyDescent="0.25">
      <c r="A30" s="14">
        <v>7</v>
      </c>
      <c r="B30">
        <v>3</v>
      </c>
      <c r="C30">
        <v>4</v>
      </c>
    </row>
    <row r="31" spans="1:3" x14ac:dyDescent="0.25">
      <c r="A31" s="14">
        <v>8</v>
      </c>
      <c r="B31">
        <v>6</v>
      </c>
      <c r="C31">
        <v>3.8333333333333335</v>
      </c>
    </row>
    <row r="32" spans="1:3" x14ac:dyDescent="0.25">
      <c r="A32" s="14">
        <v>9</v>
      </c>
      <c r="B32">
        <v>3</v>
      </c>
      <c r="C32">
        <v>2.3333333333333335</v>
      </c>
    </row>
    <row r="33" spans="1:3" x14ac:dyDescent="0.25">
      <c r="A33" s="14">
        <v>10</v>
      </c>
      <c r="B33">
        <v>4</v>
      </c>
      <c r="C33">
        <v>3</v>
      </c>
    </row>
    <row r="34" spans="1:3" x14ac:dyDescent="0.25">
      <c r="A34" s="14">
        <v>11</v>
      </c>
      <c r="B34">
        <v>2</v>
      </c>
      <c r="C34">
        <v>1</v>
      </c>
    </row>
    <row r="35" spans="1:3" x14ac:dyDescent="0.25">
      <c r="A35" s="14">
        <v>13</v>
      </c>
      <c r="B35">
        <v>2</v>
      </c>
      <c r="C35">
        <v>5</v>
      </c>
    </row>
    <row r="36" spans="1:3" x14ac:dyDescent="0.25">
      <c r="A36" s="14">
        <v>22</v>
      </c>
      <c r="B36">
        <v>2</v>
      </c>
      <c r="C36">
        <v>4.5</v>
      </c>
    </row>
    <row r="37" spans="1:3" x14ac:dyDescent="0.25">
      <c r="A37" s="14">
        <v>23</v>
      </c>
      <c r="B37">
        <v>2</v>
      </c>
      <c r="C37">
        <v>2.5</v>
      </c>
    </row>
    <row r="38" spans="1:3" x14ac:dyDescent="0.25">
      <c r="A38" s="14" t="s">
        <v>169</v>
      </c>
      <c r="B38">
        <v>67</v>
      </c>
      <c r="C38">
        <v>3.1940298507462686</v>
      </c>
    </row>
    <row r="42" spans="1:3" x14ac:dyDescent="0.25">
      <c r="A42" s="10" t="s">
        <v>162</v>
      </c>
      <c r="B42" t="s">
        <v>170</v>
      </c>
      <c r="C42" t="s">
        <v>171</v>
      </c>
    </row>
    <row r="43" spans="1:3" x14ac:dyDescent="0.25">
      <c r="A43" s="11" t="s">
        <v>19</v>
      </c>
      <c r="B43">
        <v>13</v>
      </c>
      <c r="C43">
        <v>3.6923076923076925</v>
      </c>
    </row>
    <row r="44" spans="1:3" x14ac:dyDescent="0.25">
      <c r="A44" s="11" t="s">
        <v>23</v>
      </c>
      <c r="B44">
        <v>32</v>
      </c>
      <c r="C44">
        <v>2.375</v>
      </c>
    </row>
    <row r="45" spans="1:3" x14ac:dyDescent="0.25">
      <c r="A45" s="11" t="s">
        <v>29</v>
      </c>
      <c r="B45">
        <v>17</v>
      </c>
      <c r="C45">
        <v>4.5294117647058822</v>
      </c>
    </row>
    <row r="46" spans="1:3" x14ac:dyDescent="0.25">
      <c r="A46" s="11" t="s">
        <v>183</v>
      </c>
      <c r="B46">
        <v>5</v>
      </c>
      <c r="C46">
        <v>2.6</v>
      </c>
    </row>
    <row r="47" spans="1:3" x14ac:dyDescent="0.25">
      <c r="A47" s="11" t="s">
        <v>169</v>
      </c>
      <c r="B47">
        <v>67</v>
      </c>
      <c r="C47">
        <v>3.1940298507462686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workbookViewId="0">
      <selection activeCell="U16" sqref="U16"/>
    </sheetView>
  </sheetViews>
  <sheetFormatPr baseColWidth="10" defaultColWidth="8.7109375" defaultRowHeight="15" x14ac:dyDescent="0.25"/>
  <cols>
    <col min="1" max="1" width="14.7109375" customWidth="1"/>
    <col min="2" max="2" width="23.42578125" customWidth="1"/>
    <col min="3" max="3" width="21.140625" style="5" customWidth="1"/>
    <col min="4" max="5" width="17" style="5" customWidth="1"/>
    <col min="6" max="6" width="9.42578125" customWidth="1"/>
    <col min="7" max="7" width="14.85546875" customWidth="1"/>
    <col min="8" max="8" width="14.140625" customWidth="1"/>
    <col min="9" max="9" width="26.140625" customWidth="1"/>
    <col min="10" max="10" width="20.28515625" customWidth="1"/>
    <col min="11" max="11" width="15.42578125" bestFit="1" customWidth="1"/>
    <col min="12" max="12" width="15.42578125" customWidth="1"/>
    <col min="13" max="14" width="16" customWidth="1"/>
    <col min="15" max="15" width="26" customWidth="1"/>
    <col min="16" max="16" width="13.42578125" customWidth="1"/>
  </cols>
  <sheetData>
    <row r="1" spans="1:16" ht="23.25" x14ac:dyDescent="0.35">
      <c r="A1" s="1" t="s">
        <v>0</v>
      </c>
    </row>
    <row r="3" spans="1:16" x14ac:dyDescent="0.25">
      <c r="A3" s="2" t="s">
        <v>1</v>
      </c>
      <c r="B3" s="2" t="s">
        <v>2</v>
      </c>
      <c r="C3" s="6" t="s">
        <v>3</v>
      </c>
      <c r="D3" s="6" t="s">
        <v>124</v>
      </c>
      <c r="E3" s="6" t="s">
        <v>152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151</v>
      </c>
      <c r="L3" s="2" t="s">
        <v>181</v>
      </c>
      <c r="M3" s="2" t="s">
        <v>9</v>
      </c>
      <c r="N3" s="2" t="s">
        <v>10</v>
      </c>
      <c r="O3" s="2" t="s">
        <v>11</v>
      </c>
      <c r="P3" s="2" t="s">
        <v>12</v>
      </c>
    </row>
    <row r="4" spans="1:16" x14ac:dyDescent="0.25">
      <c r="A4">
        <v>185841077</v>
      </c>
      <c r="B4" s="3">
        <v>45868.466304097223</v>
      </c>
      <c r="C4" s="7" t="s">
        <v>132</v>
      </c>
      <c r="D4" s="8">
        <v>78</v>
      </c>
      <c r="E4" s="8" t="str" cm="1">
        <f t="array" ref="E4">_xlfn.IFS(Data_Illuin[[#This Row],[Age]]&lt;40,"[0;40[",Data_Illuin[[#This Row],[Age]]&lt;50,"[40;50[",Data_Illuin[[#This Row],[Age]]&lt;60,"[50;60[",Data_Illuin[[#This Row],[Age]]&lt;70,"[60;70[",Data_Illuin[[#This Row],[Age]]&lt;80,"[70;80[",TRUE,"[80;+]")</f>
        <v>[70;80[</v>
      </c>
      <c r="F4" t="s">
        <v>13</v>
      </c>
      <c r="G4" t="s">
        <v>14</v>
      </c>
      <c r="H4" t="s">
        <v>15</v>
      </c>
      <c r="I4" s="4">
        <v>45867</v>
      </c>
      <c r="J4" s="3">
        <v>45866.919444444444</v>
      </c>
      <c r="K4" s="9">
        <f>TRUNC((J4-INT(Data_Illuin[[#This Row],[Date/heure contact]]))*24,0)</f>
        <v>22</v>
      </c>
      <c r="L4" s="9" t="b">
        <f>IF(AND(Data_Illuin[[#This Row],[Colonne1]]&gt;=8,Data_Illuin[[#This Row],[Colonne1]]&lt;=19),TRUE,FALSE)</f>
        <v>0</v>
      </c>
      <c r="M4" t="s">
        <v>16</v>
      </c>
      <c r="N4" t="s">
        <v>17</v>
      </c>
      <c r="O4" t="s">
        <v>18</v>
      </c>
      <c r="P4">
        <v>4</v>
      </c>
    </row>
    <row r="5" spans="1:16" x14ac:dyDescent="0.25">
      <c r="A5">
        <v>185841066</v>
      </c>
      <c r="B5" s="3">
        <v>45868.466304097223</v>
      </c>
      <c r="C5" s="7" t="s">
        <v>139</v>
      </c>
      <c r="D5" s="8">
        <v>53</v>
      </c>
      <c r="E5" s="8" t="str" cm="1">
        <f t="array" ref="E5">_xlfn.IFS(Data_Illuin[[#This Row],[Age]]&lt;40,"[0;40[",Data_Illuin[[#This Row],[Age]]&lt;50,"[40;50[",Data_Illuin[[#This Row],[Age]]&lt;60,"[50;60[",Data_Illuin[[#This Row],[Age]]&lt;70,"[60;70[",Data_Illuin[[#This Row],[Age]]&lt;80,"[70;80[",TRUE,"[80;+]")</f>
        <v>[50;60[</v>
      </c>
      <c r="F5" t="s">
        <v>20</v>
      </c>
      <c r="G5" t="s">
        <v>14</v>
      </c>
      <c r="H5" t="s">
        <v>21</v>
      </c>
      <c r="I5" s="4">
        <v>45867</v>
      </c>
      <c r="J5" s="3">
        <v>45867.010416666664</v>
      </c>
      <c r="K5" s="9">
        <f>TRUNC((J5-INT(Data_Illuin[[#This Row],[Date/heure contact]]))*24,0)</f>
        <v>0</v>
      </c>
      <c r="L5" s="9" t="b">
        <f>IF(AND(Data_Illuin[[#This Row],[Colonne1]]&gt;=8,Data_Illuin[[#This Row],[Colonne1]]&lt;=19),TRUE,FALSE)</f>
        <v>0</v>
      </c>
      <c r="M5" t="s">
        <v>22</v>
      </c>
      <c r="N5" t="s">
        <v>17</v>
      </c>
      <c r="O5" t="s">
        <v>18</v>
      </c>
      <c r="P5">
        <v>1</v>
      </c>
    </row>
    <row r="6" spans="1:16" x14ac:dyDescent="0.25">
      <c r="A6">
        <v>185841064</v>
      </c>
      <c r="B6" s="3">
        <v>45868.466304097223</v>
      </c>
      <c r="C6" s="7" t="s">
        <v>131</v>
      </c>
      <c r="D6" s="8">
        <v>64</v>
      </c>
      <c r="E6" s="8" t="str" cm="1">
        <f t="array" ref="E6">_xlfn.IFS(Data_Illuin[[#This Row],[Age]]&lt;40,"[0;40[",Data_Illuin[[#This Row],[Age]]&lt;50,"[40;50[",Data_Illuin[[#This Row],[Age]]&lt;60,"[50;60[",Data_Illuin[[#This Row],[Age]]&lt;70,"[60;70[",Data_Illuin[[#This Row],[Age]]&lt;80,"[70;80[",TRUE,"[80;+]")</f>
        <v>[60;70[</v>
      </c>
      <c r="F6" t="s">
        <v>13</v>
      </c>
      <c r="G6" t="s">
        <v>14</v>
      </c>
      <c r="H6" t="s">
        <v>21</v>
      </c>
      <c r="I6" s="4">
        <v>45867</v>
      </c>
      <c r="J6" s="3">
        <v>45867.015277777777</v>
      </c>
      <c r="K6" s="9">
        <f>TRUNC((J6-INT(Data_Illuin[[#This Row],[Date/heure contact]]))*24,0)</f>
        <v>0</v>
      </c>
      <c r="L6" s="9" t="b">
        <f>IF(AND(Data_Illuin[[#This Row],[Colonne1]]&gt;=8,Data_Illuin[[#This Row],[Colonne1]]&lt;=19),TRUE,FALSE)</f>
        <v>0</v>
      </c>
      <c r="M6" t="s">
        <v>24</v>
      </c>
      <c r="N6" t="s">
        <v>17</v>
      </c>
      <c r="O6" t="s">
        <v>18</v>
      </c>
      <c r="P6">
        <v>1</v>
      </c>
    </row>
    <row r="7" spans="1:16" x14ac:dyDescent="0.25">
      <c r="A7">
        <v>185841062</v>
      </c>
      <c r="B7" s="3">
        <v>45868.466304097223</v>
      </c>
      <c r="C7" s="7" t="s">
        <v>137</v>
      </c>
      <c r="D7" s="8">
        <v>58</v>
      </c>
      <c r="E7" s="8" t="str" cm="1">
        <f t="array" ref="E7">_xlfn.IFS(Data_Illuin[[#This Row],[Age]]&lt;40,"[0;40[",Data_Illuin[[#This Row],[Age]]&lt;50,"[40;50[",Data_Illuin[[#This Row],[Age]]&lt;60,"[50;60[",Data_Illuin[[#This Row],[Age]]&lt;70,"[60;70[",Data_Illuin[[#This Row],[Age]]&lt;80,"[70;80[",TRUE,"[80;+]")</f>
        <v>[50;60[</v>
      </c>
      <c r="F7" t="s">
        <v>20</v>
      </c>
      <c r="G7" t="s">
        <v>14</v>
      </c>
      <c r="H7" t="s">
        <v>21</v>
      </c>
      <c r="I7" s="4">
        <v>45867</v>
      </c>
      <c r="J7" s="3">
        <v>45867.018055555556</v>
      </c>
      <c r="K7" s="9">
        <f>TRUNC((J7-INT(Data_Illuin[[#This Row],[Date/heure contact]]))*24,0)</f>
        <v>0</v>
      </c>
      <c r="L7" s="9" t="b">
        <f>IF(AND(Data_Illuin[[#This Row],[Colonne1]]&gt;=8,Data_Illuin[[#This Row],[Colonne1]]&lt;=19),TRUE,FALSE)</f>
        <v>0</v>
      </c>
      <c r="M7" t="s">
        <v>25</v>
      </c>
      <c r="N7" t="s">
        <v>17</v>
      </c>
      <c r="O7" t="s">
        <v>18</v>
      </c>
      <c r="P7">
        <v>5</v>
      </c>
    </row>
    <row r="8" spans="1:16" x14ac:dyDescent="0.25">
      <c r="A8">
        <v>185841054</v>
      </c>
      <c r="B8" s="3">
        <v>45868.466304097223</v>
      </c>
      <c r="C8" s="7" t="s">
        <v>141</v>
      </c>
      <c r="D8" s="8">
        <v>58</v>
      </c>
      <c r="E8" s="8" t="str" cm="1">
        <f t="array" ref="E8">_xlfn.IFS(Data_Illuin[[#This Row],[Age]]&lt;40,"[0;40[",Data_Illuin[[#This Row],[Age]]&lt;50,"[40;50[",Data_Illuin[[#This Row],[Age]]&lt;60,"[50;60[",Data_Illuin[[#This Row],[Age]]&lt;70,"[60;70[",Data_Illuin[[#This Row],[Age]]&lt;80,"[70;80[",TRUE,"[80;+]")</f>
        <v>[50;60[</v>
      </c>
      <c r="F8" t="s">
        <v>20</v>
      </c>
      <c r="G8" t="s">
        <v>14</v>
      </c>
      <c r="H8" t="s">
        <v>21</v>
      </c>
      <c r="I8" s="4">
        <v>45867</v>
      </c>
      <c r="J8" s="3">
        <v>45867.032638888886</v>
      </c>
      <c r="K8" s="9">
        <f>TRUNC((J8-INT(Data_Illuin[[#This Row],[Date/heure contact]]))*24,0)</f>
        <v>0</v>
      </c>
      <c r="L8" s="9" t="b">
        <f>IF(AND(Data_Illuin[[#This Row],[Colonne1]]&gt;=8,Data_Illuin[[#This Row],[Colonne1]]&lt;=19),TRUE,FALSE)</f>
        <v>0</v>
      </c>
      <c r="M8" t="s">
        <v>26</v>
      </c>
      <c r="N8" t="s">
        <v>17</v>
      </c>
      <c r="O8" t="s">
        <v>18</v>
      </c>
      <c r="P8">
        <v>1</v>
      </c>
    </row>
    <row r="9" spans="1:16" x14ac:dyDescent="0.25">
      <c r="A9">
        <v>185841050</v>
      </c>
      <c r="B9" s="3">
        <v>45868.466304097223</v>
      </c>
      <c r="C9" s="7" t="s">
        <v>148</v>
      </c>
      <c r="D9" s="8">
        <v>85</v>
      </c>
      <c r="E9" s="8" t="str" cm="1">
        <f t="array" ref="E9">_xlfn.IFS(Data_Illuin[[#This Row],[Age]]&lt;40,"[0;40[",Data_Illuin[[#This Row],[Age]]&lt;50,"[40;50[",Data_Illuin[[#This Row],[Age]]&lt;60,"[50;60[",Data_Illuin[[#This Row],[Age]]&lt;70,"[60;70[",Data_Illuin[[#This Row],[Age]]&lt;80,"[70;80[",TRUE,"[80;+]")</f>
        <v>[80;+]</v>
      </c>
      <c r="F9" t="s">
        <v>20</v>
      </c>
      <c r="G9" t="s">
        <v>14</v>
      </c>
      <c r="H9" t="s">
        <v>21</v>
      </c>
      <c r="I9" s="4">
        <v>45867</v>
      </c>
      <c r="J9" s="3">
        <v>45867.041666666664</v>
      </c>
      <c r="K9" s="9">
        <f>TRUNC((J9-INT(Data_Illuin[[#This Row],[Date/heure contact]]))*24,0)</f>
        <v>0</v>
      </c>
      <c r="L9" s="9" t="b">
        <f>IF(AND(Data_Illuin[[#This Row],[Colonne1]]&gt;=8,Data_Illuin[[#This Row],[Colonne1]]&lt;=19),TRUE,FALSE)</f>
        <v>0</v>
      </c>
      <c r="M9" t="s">
        <v>27</v>
      </c>
      <c r="N9" t="s">
        <v>17</v>
      </c>
      <c r="O9" t="s">
        <v>18</v>
      </c>
      <c r="P9">
        <v>3</v>
      </c>
    </row>
    <row r="10" spans="1:16" x14ac:dyDescent="0.25">
      <c r="A10">
        <v>185841044</v>
      </c>
      <c r="B10" s="3">
        <v>45868.466304097223</v>
      </c>
      <c r="C10" s="7" t="s">
        <v>133</v>
      </c>
      <c r="D10" s="8">
        <v>67</v>
      </c>
      <c r="E10" s="8" t="str" cm="1">
        <f t="array" ref="E10">_xlfn.IFS(Data_Illuin[[#This Row],[Age]]&lt;40,"[0;40[",Data_Illuin[[#This Row],[Age]]&lt;50,"[40;50[",Data_Illuin[[#This Row],[Age]]&lt;60,"[50;60[",Data_Illuin[[#This Row],[Age]]&lt;70,"[60;70[",Data_Illuin[[#This Row],[Age]]&lt;80,"[70;80[",TRUE,"[80;+]")</f>
        <v>[60;70[</v>
      </c>
      <c r="F10" t="s">
        <v>20</v>
      </c>
      <c r="G10" t="s">
        <v>14</v>
      </c>
      <c r="H10" t="s">
        <v>21</v>
      </c>
      <c r="I10" s="4">
        <v>45867</v>
      </c>
      <c r="J10" s="3">
        <v>45867.054166666669</v>
      </c>
      <c r="K10" s="9">
        <f>TRUNC((J10-INT(Data_Illuin[[#This Row],[Date/heure contact]]))*24,0)</f>
        <v>1</v>
      </c>
      <c r="L10" s="9" t="b">
        <f>IF(AND(Data_Illuin[[#This Row],[Colonne1]]&gt;=8,Data_Illuin[[#This Row],[Colonne1]]&lt;=19),TRUE,FALSE)</f>
        <v>0</v>
      </c>
      <c r="M10" t="s">
        <v>28</v>
      </c>
      <c r="N10" t="s">
        <v>17</v>
      </c>
      <c r="O10" t="s">
        <v>18</v>
      </c>
      <c r="P10">
        <v>4</v>
      </c>
    </row>
    <row r="11" spans="1:16" x14ac:dyDescent="0.25">
      <c r="A11">
        <v>185841037</v>
      </c>
      <c r="B11" s="3">
        <v>45868.466304097223</v>
      </c>
      <c r="C11" s="7" t="s">
        <v>143</v>
      </c>
      <c r="D11" s="8">
        <v>74</v>
      </c>
      <c r="E11" s="8" t="str" cm="1">
        <f t="array" ref="E11">_xlfn.IFS(Data_Illuin[[#This Row],[Age]]&lt;40,"[0;40[",Data_Illuin[[#This Row],[Age]]&lt;50,"[40;50[",Data_Illuin[[#This Row],[Age]]&lt;60,"[50;60[",Data_Illuin[[#This Row],[Age]]&lt;70,"[60;70[",Data_Illuin[[#This Row],[Age]]&lt;80,"[70;80[",TRUE,"[80;+]")</f>
        <v>[70;80[</v>
      </c>
      <c r="F11" t="s">
        <v>13</v>
      </c>
      <c r="G11" t="s">
        <v>14</v>
      </c>
      <c r="H11" t="s">
        <v>21</v>
      </c>
      <c r="I11" s="4">
        <v>45867</v>
      </c>
      <c r="J11" s="3">
        <v>45867.072222222225</v>
      </c>
      <c r="K11" s="9">
        <f>TRUNC((J11-INT(Data_Illuin[[#This Row],[Date/heure contact]]))*24,0)</f>
        <v>1</v>
      </c>
      <c r="L11" s="9" t="b">
        <f>IF(AND(Data_Illuin[[#This Row],[Colonne1]]&gt;=8,Data_Illuin[[#This Row],[Colonne1]]&lt;=19),TRUE,FALSE)</f>
        <v>0</v>
      </c>
      <c r="M11" t="s">
        <v>30</v>
      </c>
      <c r="N11" t="s">
        <v>17</v>
      </c>
      <c r="O11" t="s">
        <v>18</v>
      </c>
      <c r="P11">
        <v>5</v>
      </c>
    </row>
    <row r="12" spans="1:16" x14ac:dyDescent="0.25">
      <c r="A12">
        <v>185841027</v>
      </c>
      <c r="B12" s="3">
        <v>45868.466304097223</v>
      </c>
      <c r="C12" s="7" t="s">
        <v>146</v>
      </c>
      <c r="D12" s="8">
        <v>72</v>
      </c>
      <c r="E12" s="8" t="str" cm="1">
        <f t="array" ref="E12">_xlfn.IFS(Data_Illuin[[#This Row],[Age]]&lt;40,"[0;40[",Data_Illuin[[#This Row],[Age]]&lt;50,"[40;50[",Data_Illuin[[#This Row],[Age]]&lt;60,"[50;60[",Data_Illuin[[#This Row],[Age]]&lt;70,"[60;70[",Data_Illuin[[#This Row],[Age]]&lt;80,"[70;80[",TRUE,"[80;+]")</f>
        <v>[70;80[</v>
      </c>
      <c r="F12" t="s">
        <v>20</v>
      </c>
      <c r="G12" t="s">
        <v>14</v>
      </c>
      <c r="H12" t="s">
        <v>21</v>
      </c>
      <c r="I12" s="4">
        <v>45867</v>
      </c>
      <c r="J12" s="3">
        <v>45867.116666666669</v>
      </c>
      <c r="K12" s="9">
        <f>TRUNC((J12-INT(Data_Illuin[[#This Row],[Date/heure contact]]))*24,0)</f>
        <v>2</v>
      </c>
      <c r="L12" s="9" t="b">
        <f>IF(AND(Data_Illuin[[#This Row],[Colonne1]]&gt;=8,Data_Illuin[[#This Row],[Colonne1]]&lt;=19),TRUE,FALSE)</f>
        <v>0</v>
      </c>
      <c r="M12" t="s">
        <v>31</v>
      </c>
      <c r="N12" t="s">
        <v>17</v>
      </c>
      <c r="O12" t="s">
        <v>18</v>
      </c>
      <c r="P12">
        <v>5</v>
      </c>
    </row>
    <row r="13" spans="1:16" x14ac:dyDescent="0.25">
      <c r="A13">
        <v>185841022</v>
      </c>
      <c r="B13" s="3">
        <v>45868.466304097223</v>
      </c>
      <c r="C13" s="7" t="s">
        <v>134</v>
      </c>
      <c r="D13" s="8">
        <v>56</v>
      </c>
      <c r="E13" s="8" t="str" cm="1">
        <f t="array" ref="E13">_xlfn.IFS(Data_Illuin[[#This Row],[Age]]&lt;40,"[0;40[",Data_Illuin[[#This Row],[Age]]&lt;50,"[40;50[",Data_Illuin[[#This Row],[Age]]&lt;60,"[50;60[",Data_Illuin[[#This Row],[Age]]&lt;70,"[60;70[",Data_Illuin[[#This Row],[Age]]&lt;80,"[70;80[",TRUE,"[80;+]")</f>
        <v>[50;60[</v>
      </c>
      <c r="F13" t="s">
        <v>20</v>
      </c>
      <c r="G13" t="s">
        <v>14</v>
      </c>
      <c r="H13" t="s">
        <v>21</v>
      </c>
      <c r="I13" s="4">
        <v>45867</v>
      </c>
      <c r="J13" s="3">
        <v>45867.124305555553</v>
      </c>
      <c r="K13" s="9">
        <f>TRUNC((J13-INT(Data_Illuin[[#This Row],[Date/heure contact]]))*24,0)</f>
        <v>2</v>
      </c>
      <c r="L13" s="9" t="b">
        <f>IF(AND(Data_Illuin[[#This Row],[Colonne1]]&gt;=8,Data_Illuin[[#This Row],[Colonne1]]&lt;=19),TRUE,FALSE)</f>
        <v>0</v>
      </c>
      <c r="M13" t="s">
        <v>32</v>
      </c>
      <c r="N13" t="s">
        <v>17</v>
      </c>
      <c r="O13" t="s">
        <v>18</v>
      </c>
      <c r="P13">
        <v>3</v>
      </c>
    </row>
    <row r="14" spans="1:16" x14ac:dyDescent="0.25">
      <c r="A14">
        <v>185841017</v>
      </c>
      <c r="B14" s="3">
        <v>45868.466304097223</v>
      </c>
      <c r="C14" s="7" t="s">
        <v>150</v>
      </c>
      <c r="D14" s="8">
        <v>72</v>
      </c>
      <c r="E14" s="8" t="str" cm="1">
        <f t="array" ref="E14">_xlfn.IFS(Data_Illuin[[#This Row],[Age]]&lt;40,"[0;40[",Data_Illuin[[#This Row],[Age]]&lt;50,"[40;50[",Data_Illuin[[#This Row],[Age]]&lt;60,"[50;60[",Data_Illuin[[#This Row],[Age]]&lt;70,"[60;70[",Data_Illuin[[#This Row],[Age]]&lt;80,"[70;80[",TRUE,"[80;+]")</f>
        <v>[70;80[</v>
      </c>
      <c r="F14" t="s">
        <v>13</v>
      </c>
      <c r="G14" t="s">
        <v>14</v>
      </c>
      <c r="H14" t="s">
        <v>21</v>
      </c>
      <c r="I14" s="4">
        <v>45867</v>
      </c>
      <c r="J14" s="3">
        <v>45867.132638888892</v>
      </c>
      <c r="K14" s="9">
        <f>TRUNC((J14-INT(Data_Illuin[[#This Row],[Date/heure contact]]))*24,0)</f>
        <v>3</v>
      </c>
      <c r="L14" s="9" t="b">
        <f>IF(AND(Data_Illuin[[#This Row],[Colonne1]]&gt;=8,Data_Illuin[[#This Row],[Colonne1]]&lt;=19),TRUE,FALSE)</f>
        <v>0</v>
      </c>
      <c r="M14" t="s">
        <v>33</v>
      </c>
      <c r="N14" t="s">
        <v>17</v>
      </c>
      <c r="O14" t="s">
        <v>18</v>
      </c>
      <c r="P14">
        <v>3</v>
      </c>
    </row>
    <row r="15" spans="1:16" x14ac:dyDescent="0.25">
      <c r="A15">
        <v>185841016</v>
      </c>
      <c r="B15" s="3">
        <v>45868.466304097223</v>
      </c>
      <c r="C15" s="7" t="s">
        <v>140</v>
      </c>
      <c r="D15" s="8">
        <v>60</v>
      </c>
      <c r="E15" s="8" t="str" cm="1">
        <f t="array" ref="E15">_xlfn.IFS(Data_Illuin[[#This Row],[Age]]&lt;40,"[0;40[",Data_Illuin[[#This Row],[Age]]&lt;50,"[40;50[",Data_Illuin[[#This Row],[Age]]&lt;60,"[50;60[",Data_Illuin[[#This Row],[Age]]&lt;70,"[60;70[",Data_Illuin[[#This Row],[Age]]&lt;80,"[70;80[",TRUE,"[80;+]")</f>
        <v>[60;70[</v>
      </c>
      <c r="F15" t="s">
        <v>13</v>
      </c>
      <c r="G15" t="s">
        <v>14</v>
      </c>
      <c r="H15" t="s">
        <v>21</v>
      </c>
      <c r="I15" s="4">
        <v>45867</v>
      </c>
      <c r="J15" s="3">
        <v>45867.134722222225</v>
      </c>
      <c r="K15" s="9">
        <f>TRUNC((J15-INT(Data_Illuin[[#This Row],[Date/heure contact]]))*24,0)</f>
        <v>3</v>
      </c>
      <c r="L15" s="9" t="b">
        <f>IF(AND(Data_Illuin[[#This Row],[Colonne1]]&gt;=8,Data_Illuin[[#This Row],[Colonne1]]&lt;=19),TRUE,FALSE)</f>
        <v>0</v>
      </c>
      <c r="M15" t="s">
        <v>34</v>
      </c>
      <c r="N15" t="s">
        <v>17</v>
      </c>
      <c r="O15" t="s">
        <v>18</v>
      </c>
      <c r="P15">
        <v>5</v>
      </c>
    </row>
    <row r="16" spans="1:16" x14ac:dyDescent="0.25">
      <c r="A16">
        <v>185840939</v>
      </c>
      <c r="B16" s="3">
        <v>45868.466304097223</v>
      </c>
      <c r="C16" s="7" t="s">
        <v>147</v>
      </c>
      <c r="D16" s="8">
        <v>33</v>
      </c>
      <c r="E16" s="8" t="str" cm="1">
        <f t="array" ref="E16">_xlfn.IFS(Data_Illuin[[#This Row],[Age]]&lt;40,"[0;40[",Data_Illuin[[#This Row],[Age]]&lt;50,"[40;50[",Data_Illuin[[#This Row],[Age]]&lt;60,"[50;60[",Data_Illuin[[#This Row],[Age]]&lt;70,"[60;70[",Data_Illuin[[#This Row],[Age]]&lt;80,"[70;80[",TRUE,"[80;+]")</f>
        <v>[0;40[</v>
      </c>
      <c r="F16" t="s">
        <v>13</v>
      </c>
      <c r="G16" t="s">
        <v>14</v>
      </c>
      <c r="H16" t="s">
        <v>21</v>
      </c>
      <c r="I16" s="4">
        <v>45867</v>
      </c>
      <c r="J16" s="3">
        <v>45867.381944444445</v>
      </c>
      <c r="K16" s="9">
        <f>TRUNC((J16-INT(Data_Illuin[[#This Row],[Date/heure contact]]))*24,0)</f>
        <v>9</v>
      </c>
      <c r="L16" s="9" t="b">
        <f>IF(AND(Data_Illuin[[#This Row],[Colonne1]]&gt;=8,Data_Illuin[[#This Row],[Colonne1]]&lt;=19),TRUE,FALSE)</f>
        <v>1</v>
      </c>
      <c r="M16" t="s">
        <v>35</v>
      </c>
      <c r="N16" t="s">
        <v>17</v>
      </c>
      <c r="O16" t="s">
        <v>18</v>
      </c>
      <c r="P16">
        <v>1</v>
      </c>
    </row>
    <row r="17" spans="1:16" x14ac:dyDescent="0.25">
      <c r="A17">
        <v>185616266</v>
      </c>
      <c r="B17" s="3">
        <v>45867.480011168984</v>
      </c>
      <c r="C17" s="7" t="s">
        <v>145</v>
      </c>
      <c r="D17" s="8">
        <v>75</v>
      </c>
      <c r="E17" s="8" t="str" cm="1">
        <f t="array" ref="E17">_xlfn.IFS(Data_Illuin[[#This Row],[Age]]&lt;40,"[0;40[",Data_Illuin[[#This Row],[Age]]&lt;50,"[40;50[",Data_Illuin[[#This Row],[Age]]&lt;60,"[50;60[",Data_Illuin[[#This Row],[Age]]&lt;70,"[60;70[",Data_Illuin[[#This Row],[Age]]&lt;80,"[70;80[",TRUE,"[80;+]")</f>
        <v>[70;80[</v>
      </c>
      <c r="F17" t="s">
        <v>20</v>
      </c>
      <c r="G17" t="s">
        <v>14</v>
      </c>
      <c r="H17" t="s">
        <v>21</v>
      </c>
      <c r="I17" s="4">
        <v>45866</v>
      </c>
      <c r="J17" s="3">
        <v>45866.055555555555</v>
      </c>
      <c r="K17" s="9">
        <f>TRUNC((J17-INT(Data_Illuin[[#This Row],[Date/heure contact]]))*24,0)</f>
        <v>1</v>
      </c>
      <c r="L17" s="9" t="b">
        <f>IF(AND(Data_Illuin[[#This Row],[Colonne1]]&gt;=8,Data_Illuin[[#This Row],[Colonne1]]&lt;=19),TRUE,FALSE)</f>
        <v>0</v>
      </c>
      <c r="M17" t="s">
        <v>36</v>
      </c>
      <c r="N17" t="s">
        <v>17</v>
      </c>
      <c r="O17" t="s">
        <v>18</v>
      </c>
      <c r="P17">
        <v>5</v>
      </c>
    </row>
    <row r="18" spans="1:16" x14ac:dyDescent="0.25">
      <c r="A18">
        <v>185616257</v>
      </c>
      <c r="B18" s="3">
        <v>45867.480011168984</v>
      </c>
      <c r="C18" s="7" t="s">
        <v>130</v>
      </c>
      <c r="D18" s="8">
        <v>53</v>
      </c>
      <c r="E18" s="8" t="str" cm="1">
        <f t="array" ref="E18">_xlfn.IFS(Data_Illuin[[#This Row],[Age]]&lt;40,"[0;40[",Data_Illuin[[#This Row],[Age]]&lt;50,"[40;50[",Data_Illuin[[#This Row],[Age]]&lt;60,"[50;60[",Data_Illuin[[#This Row],[Age]]&lt;70,"[60;70[",Data_Illuin[[#This Row],[Age]]&lt;80,"[70;80[",TRUE,"[80;+]")</f>
        <v>[50;60[</v>
      </c>
      <c r="F18" t="s">
        <v>13</v>
      </c>
      <c r="G18" t="s">
        <v>14</v>
      </c>
      <c r="H18" t="s">
        <v>21</v>
      </c>
      <c r="I18" s="4">
        <v>45866</v>
      </c>
      <c r="J18" s="3">
        <v>45866.086111111108</v>
      </c>
      <c r="K18" s="9">
        <f>TRUNC((J18-INT(Data_Illuin[[#This Row],[Date/heure contact]]))*24,0)</f>
        <v>2</v>
      </c>
      <c r="L18" s="9" t="b">
        <f>IF(AND(Data_Illuin[[#This Row],[Colonne1]]&gt;=8,Data_Illuin[[#This Row],[Colonne1]]&lt;=19),TRUE,FALSE)</f>
        <v>0</v>
      </c>
      <c r="M18" t="s">
        <v>37</v>
      </c>
      <c r="N18" t="s">
        <v>17</v>
      </c>
      <c r="O18" t="s">
        <v>18</v>
      </c>
      <c r="P18">
        <v>5</v>
      </c>
    </row>
    <row r="19" spans="1:16" x14ac:dyDescent="0.25">
      <c r="A19">
        <v>185616255</v>
      </c>
      <c r="B19" s="3">
        <v>45867.480011168984</v>
      </c>
      <c r="C19" s="7" t="s">
        <v>138</v>
      </c>
      <c r="D19" s="8">
        <v>67</v>
      </c>
      <c r="E19" s="8" t="str" cm="1">
        <f t="array" ref="E19">_xlfn.IFS(Data_Illuin[[#This Row],[Age]]&lt;40,"[0;40[",Data_Illuin[[#This Row],[Age]]&lt;50,"[40;50[",Data_Illuin[[#This Row],[Age]]&lt;60,"[50;60[",Data_Illuin[[#This Row],[Age]]&lt;70,"[60;70[",Data_Illuin[[#This Row],[Age]]&lt;80,"[70;80[",TRUE,"[80;+]")</f>
        <v>[60;70[</v>
      </c>
      <c r="F19" t="s">
        <v>20</v>
      </c>
      <c r="G19" t="s">
        <v>14</v>
      </c>
      <c r="H19" t="s">
        <v>21</v>
      </c>
      <c r="I19" s="4">
        <v>45866</v>
      </c>
      <c r="J19" s="3">
        <v>45866.09097222222</v>
      </c>
      <c r="K19" s="9">
        <f>TRUNC((J19-INT(Data_Illuin[[#This Row],[Date/heure contact]]))*24,0)</f>
        <v>2</v>
      </c>
      <c r="L19" s="9" t="b">
        <f>IF(AND(Data_Illuin[[#This Row],[Colonne1]]&gt;=8,Data_Illuin[[#This Row],[Colonne1]]&lt;=19),TRUE,FALSE)</f>
        <v>0</v>
      </c>
      <c r="M19" t="s">
        <v>38</v>
      </c>
      <c r="N19" t="s">
        <v>17</v>
      </c>
      <c r="O19" t="s">
        <v>18</v>
      </c>
      <c r="P19">
        <v>2</v>
      </c>
    </row>
    <row r="20" spans="1:16" x14ac:dyDescent="0.25">
      <c r="A20">
        <v>185616244</v>
      </c>
      <c r="B20" s="3">
        <v>45867.480011168984</v>
      </c>
      <c r="C20" s="7" t="s">
        <v>135</v>
      </c>
      <c r="D20" s="8">
        <v>64</v>
      </c>
      <c r="E20" s="8" t="str" cm="1">
        <f t="array" ref="E20">_xlfn.IFS(Data_Illuin[[#This Row],[Age]]&lt;40,"[0;40[",Data_Illuin[[#This Row],[Age]]&lt;50,"[40;50[",Data_Illuin[[#This Row],[Age]]&lt;60,"[50;60[",Data_Illuin[[#This Row],[Age]]&lt;70,"[60;70[",Data_Illuin[[#This Row],[Age]]&lt;80,"[70;80[",TRUE,"[80;+]")</f>
        <v>[60;70[</v>
      </c>
      <c r="F20" t="s">
        <v>13</v>
      </c>
      <c r="G20" t="s">
        <v>14</v>
      </c>
      <c r="H20" t="s">
        <v>21</v>
      </c>
      <c r="I20" s="4">
        <v>45866</v>
      </c>
      <c r="J20" s="3">
        <v>45866.104861111111</v>
      </c>
      <c r="K20" s="9">
        <f>TRUNC((J20-INT(Data_Illuin[[#This Row],[Date/heure contact]]))*24,0)</f>
        <v>2</v>
      </c>
      <c r="L20" s="9" t="b">
        <f>IF(AND(Data_Illuin[[#This Row],[Colonne1]]&gt;=8,Data_Illuin[[#This Row],[Colonne1]]&lt;=19),TRUE,FALSE)</f>
        <v>0</v>
      </c>
      <c r="M20" t="s">
        <v>39</v>
      </c>
      <c r="N20" t="s">
        <v>17</v>
      </c>
      <c r="O20" t="s">
        <v>40</v>
      </c>
      <c r="P20">
        <v>5</v>
      </c>
    </row>
    <row r="21" spans="1:16" x14ac:dyDescent="0.25">
      <c r="A21">
        <v>185616232</v>
      </c>
      <c r="B21" s="3">
        <v>45867.480011168984</v>
      </c>
      <c r="C21" s="7" t="s">
        <v>125</v>
      </c>
      <c r="D21" s="8">
        <v>28</v>
      </c>
      <c r="E21" s="8" t="str" cm="1">
        <f t="array" ref="E21">_xlfn.IFS(Data_Illuin[[#This Row],[Age]]&lt;40,"[0;40[",Data_Illuin[[#This Row],[Age]]&lt;50,"[40;50[",Data_Illuin[[#This Row],[Age]]&lt;60,"[50;60[",Data_Illuin[[#This Row],[Age]]&lt;70,"[60;70[",Data_Illuin[[#This Row],[Age]]&lt;80,"[70;80[",TRUE,"[80;+]")</f>
        <v>[0;40[</v>
      </c>
      <c r="F21" t="s">
        <v>20</v>
      </c>
      <c r="G21" t="s">
        <v>14</v>
      </c>
      <c r="H21" t="s">
        <v>21</v>
      </c>
      <c r="I21" s="4">
        <v>45866</v>
      </c>
      <c r="J21" s="3">
        <v>45866.116666666669</v>
      </c>
      <c r="K21" s="9">
        <f>TRUNC((J21-INT(Data_Illuin[[#This Row],[Date/heure contact]]))*24,0)</f>
        <v>2</v>
      </c>
      <c r="L21" s="9" t="b">
        <f>IF(AND(Data_Illuin[[#This Row],[Colonne1]]&gt;=8,Data_Illuin[[#This Row],[Colonne1]]&lt;=19),TRUE,FALSE)</f>
        <v>0</v>
      </c>
      <c r="M21" t="s">
        <v>41</v>
      </c>
      <c r="N21" t="s">
        <v>17</v>
      </c>
      <c r="O21" t="s">
        <v>40</v>
      </c>
      <c r="P21">
        <v>1</v>
      </c>
    </row>
    <row r="22" spans="1:16" x14ac:dyDescent="0.25">
      <c r="A22">
        <v>185616208</v>
      </c>
      <c r="B22" s="3">
        <v>45867.480011168984</v>
      </c>
      <c r="C22" s="7" t="s">
        <v>142</v>
      </c>
      <c r="D22" s="8">
        <v>43</v>
      </c>
      <c r="E22" s="8" t="str" cm="1">
        <f t="array" ref="E22">_xlfn.IFS(Data_Illuin[[#This Row],[Age]]&lt;40,"[0;40[",Data_Illuin[[#This Row],[Age]]&lt;50,"[40;50[",Data_Illuin[[#This Row],[Age]]&lt;60,"[50;60[",Data_Illuin[[#This Row],[Age]]&lt;70,"[60;70[",Data_Illuin[[#This Row],[Age]]&lt;80,"[70;80[",TRUE,"[80;+]")</f>
        <v>[40;50[</v>
      </c>
      <c r="F22" t="s">
        <v>20</v>
      </c>
      <c r="G22" t="s">
        <v>14</v>
      </c>
      <c r="H22" t="s">
        <v>21</v>
      </c>
      <c r="I22" s="4">
        <v>45866</v>
      </c>
      <c r="J22" s="3">
        <v>45866.212500000001</v>
      </c>
      <c r="K22" s="9">
        <f>TRUNC((J22-INT(Data_Illuin[[#This Row],[Date/heure contact]]))*24,0)</f>
        <v>5</v>
      </c>
      <c r="L22" s="9" t="b">
        <f>IF(AND(Data_Illuin[[#This Row],[Colonne1]]&gt;=8,Data_Illuin[[#This Row],[Colonne1]]&lt;=19),TRUE,FALSE)</f>
        <v>0</v>
      </c>
      <c r="M22" t="s">
        <v>42</v>
      </c>
      <c r="N22" t="s">
        <v>17</v>
      </c>
      <c r="O22" t="s">
        <v>18</v>
      </c>
      <c r="P22">
        <v>5</v>
      </c>
    </row>
    <row r="23" spans="1:16" x14ac:dyDescent="0.25">
      <c r="A23">
        <v>185616192</v>
      </c>
      <c r="B23" s="3">
        <v>45867.480011168984</v>
      </c>
      <c r="C23" s="7" t="s">
        <v>136</v>
      </c>
      <c r="D23" s="8">
        <v>51</v>
      </c>
      <c r="E23" s="8" t="str" cm="1">
        <f t="array" ref="E23">_xlfn.IFS(Data_Illuin[[#This Row],[Age]]&lt;40,"[0;40[",Data_Illuin[[#This Row],[Age]]&lt;50,"[40;50[",Data_Illuin[[#This Row],[Age]]&lt;60,"[50;60[",Data_Illuin[[#This Row],[Age]]&lt;70,"[60;70[",Data_Illuin[[#This Row],[Age]]&lt;80,"[70;80[",TRUE,"[80;+]")</f>
        <v>[50;60[</v>
      </c>
      <c r="F23" t="s">
        <v>20</v>
      </c>
      <c r="G23" t="s">
        <v>14</v>
      </c>
      <c r="H23" t="s">
        <v>21</v>
      </c>
      <c r="I23" s="4">
        <v>45866</v>
      </c>
      <c r="J23" s="3">
        <v>45866.254166666666</v>
      </c>
      <c r="K23" s="9">
        <f>TRUNC((J23-INT(Data_Illuin[[#This Row],[Date/heure contact]]))*24,0)</f>
        <v>6</v>
      </c>
      <c r="L23" s="9" t="b">
        <f>IF(AND(Data_Illuin[[#This Row],[Colonne1]]&gt;=8,Data_Illuin[[#This Row],[Colonne1]]&lt;=19),TRUE,FALSE)</f>
        <v>0</v>
      </c>
      <c r="M23" t="s">
        <v>43</v>
      </c>
      <c r="N23" t="s">
        <v>17</v>
      </c>
      <c r="O23" t="s">
        <v>18</v>
      </c>
      <c r="P23">
        <v>1</v>
      </c>
    </row>
    <row r="24" spans="1:16" x14ac:dyDescent="0.25">
      <c r="A24">
        <v>185616188</v>
      </c>
      <c r="B24" s="3">
        <v>45867.480011168984</v>
      </c>
      <c r="C24" s="7" t="s">
        <v>128</v>
      </c>
      <c r="D24" s="8">
        <v>32</v>
      </c>
      <c r="E24" s="8" t="str" cm="1">
        <f t="array" ref="E24">_xlfn.IFS(Data_Illuin[[#This Row],[Age]]&lt;40,"[0;40[",Data_Illuin[[#This Row],[Age]]&lt;50,"[40;50[",Data_Illuin[[#This Row],[Age]]&lt;60,"[50;60[",Data_Illuin[[#This Row],[Age]]&lt;70,"[60;70[",Data_Illuin[[#This Row],[Age]]&lt;80,"[70;80[",TRUE,"[80;+]")</f>
        <v>[0;40[</v>
      </c>
      <c r="F24" t="s">
        <v>13</v>
      </c>
      <c r="G24" t="s">
        <v>14</v>
      </c>
      <c r="H24" t="s">
        <v>15</v>
      </c>
      <c r="I24" s="4">
        <v>45866</v>
      </c>
      <c r="J24" s="3">
        <v>45866.275694444441</v>
      </c>
      <c r="K24" s="9">
        <f>TRUNC((J24-INT(Data_Illuin[[#This Row],[Date/heure contact]]))*24,0)</f>
        <v>6</v>
      </c>
      <c r="L24" s="9" t="b">
        <f>IF(AND(Data_Illuin[[#This Row],[Colonne1]]&gt;=8,Data_Illuin[[#This Row],[Colonne1]]&lt;=19),TRUE,FALSE)</f>
        <v>0</v>
      </c>
      <c r="M24" t="s">
        <v>44</v>
      </c>
      <c r="N24" t="s">
        <v>17</v>
      </c>
      <c r="O24" t="s">
        <v>18</v>
      </c>
      <c r="P24">
        <v>1</v>
      </c>
    </row>
    <row r="25" spans="1:16" x14ac:dyDescent="0.25">
      <c r="A25">
        <v>185616184</v>
      </c>
      <c r="B25" s="3">
        <v>45867.480011168984</v>
      </c>
      <c r="C25" s="7" t="s">
        <v>129</v>
      </c>
      <c r="D25" s="8">
        <v>64</v>
      </c>
      <c r="E25" s="8" t="str" cm="1">
        <f t="array" ref="E25">_xlfn.IFS(Data_Illuin[[#This Row],[Age]]&lt;40,"[0;40[",Data_Illuin[[#This Row],[Age]]&lt;50,"[40;50[",Data_Illuin[[#This Row],[Age]]&lt;60,"[50;60[",Data_Illuin[[#This Row],[Age]]&lt;70,"[60;70[",Data_Illuin[[#This Row],[Age]]&lt;80,"[70;80[",TRUE,"[80;+]")</f>
        <v>[60;70[</v>
      </c>
      <c r="F25" t="s">
        <v>20</v>
      </c>
      <c r="G25" t="s">
        <v>14</v>
      </c>
      <c r="H25" t="s">
        <v>21</v>
      </c>
      <c r="I25" s="4">
        <v>45866</v>
      </c>
      <c r="J25" s="3">
        <v>45866.29583333333</v>
      </c>
      <c r="K25" s="9">
        <f>TRUNC((J25-INT(Data_Illuin[[#This Row],[Date/heure contact]]))*24,0)</f>
        <v>7</v>
      </c>
      <c r="L25" s="9" t="b">
        <f>IF(AND(Data_Illuin[[#This Row],[Colonne1]]&gt;=8,Data_Illuin[[#This Row],[Colonne1]]&lt;=19),TRUE,FALSE)</f>
        <v>0</v>
      </c>
      <c r="M25" t="s">
        <v>45</v>
      </c>
      <c r="N25" t="s">
        <v>17</v>
      </c>
      <c r="O25" t="s">
        <v>18</v>
      </c>
      <c r="P25">
        <v>5</v>
      </c>
    </row>
    <row r="26" spans="1:16" x14ac:dyDescent="0.25">
      <c r="A26">
        <v>185616182</v>
      </c>
      <c r="B26" s="3">
        <v>45867.480011168984</v>
      </c>
      <c r="C26" s="7" t="s">
        <v>126</v>
      </c>
      <c r="D26" s="8">
        <v>71</v>
      </c>
      <c r="E26" s="8" t="str" cm="1">
        <f t="array" ref="E26">_xlfn.IFS(Data_Illuin[[#This Row],[Age]]&lt;40,"[0;40[",Data_Illuin[[#This Row],[Age]]&lt;50,"[40;50[",Data_Illuin[[#This Row],[Age]]&lt;60,"[50;60[",Data_Illuin[[#This Row],[Age]]&lt;70,"[60;70[",Data_Illuin[[#This Row],[Age]]&lt;80,"[70;80[",TRUE,"[80;+]")</f>
        <v>[70;80[</v>
      </c>
      <c r="F26" t="s">
        <v>13</v>
      </c>
      <c r="G26" t="s">
        <v>14</v>
      </c>
      <c r="H26" t="s">
        <v>21</v>
      </c>
      <c r="I26" s="4">
        <v>45866</v>
      </c>
      <c r="J26" s="3">
        <v>45866.302083333336</v>
      </c>
      <c r="K26" s="9">
        <f>TRUNC((J26-INT(Data_Illuin[[#This Row],[Date/heure contact]]))*24,0)</f>
        <v>7</v>
      </c>
      <c r="L26" s="9" t="b">
        <f>IF(AND(Data_Illuin[[#This Row],[Colonne1]]&gt;=8,Data_Illuin[[#This Row],[Colonne1]]&lt;=19),TRUE,FALSE)</f>
        <v>0</v>
      </c>
      <c r="M26" t="s">
        <v>46</v>
      </c>
      <c r="N26" t="s">
        <v>17</v>
      </c>
      <c r="O26" t="s">
        <v>18</v>
      </c>
      <c r="P26">
        <v>5</v>
      </c>
    </row>
    <row r="27" spans="1:16" x14ac:dyDescent="0.25">
      <c r="A27">
        <v>185437828</v>
      </c>
      <c r="B27" s="3">
        <v>45866.581185185183</v>
      </c>
      <c r="C27" s="7" t="s">
        <v>144</v>
      </c>
      <c r="D27" s="8">
        <v>46</v>
      </c>
      <c r="E27" s="8" t="str" cm="1">
        <f t="array" ref="E27">_xlfn.IFS(Data_Illuin[[#This Row],[Age]]&lt;40,"[0;40[",Data_Illuin[[#This Row],[Age]]&lt;50,"[40;50[",Data_Illuin[[#This Row],[Age]]&lt;60,"[50;60[",Data_Illuin[[#This Row],[Age]]&lt;70,"[60;70[",Data_Illuin[[#This Row],[Age]]&lt;80,"[70;80[",TRUE,"[80;+]")</f>
        <v>[40;50[</v>
      </c>
      <c r="F27" t="s">
        <v>13</v>
      </c>
      <c r="G27" t="s">
        <v>14</v>
      </c>
      <c r="H27" t="s">
        <v>21</v>
      </c>
      <c r="I27" s="4">
        <v>45865</v>
      </c>
      <c r="J27" s="3">
        <v>45865.179861111108</v>
      </c>
      <c r="K27" s="9">
        <f>TRUNC((J27-INT(Data_Illuin[[#This Row],[Date/heure contact]]))*24,0)</f>
        <v>4</v>
      </c>
      <c r="L27" s="9" t="b">
        <f>IF(AND(Data_Illuin[[#This Row],[Colonne1]]&gt;=8,Data_Illuin[[#This Row],[Colonne1]]&lt;=19),TRUE,FALSE)</f>
        <v>0</v>
      </c>
      <c r="M27" t="s">
        <v>47</v>
      </c>
      <c r="N27" t="s">
        <v>17</v>
      </c>
      <c r="O27" t="s">
        <v>18</v>
      </c>
      <c r="P27">
        <v>5</v>
      </c>
    </row>
    <row r="28" spans="1:16" x14ac:dyDescent="0.25">
      <c r="A28">
        <v>185437919</v>
      </c>
      <c r="B28" s="3">
        <v>45866.581185185183</v>
      </c>
      <c r="C28" s="7" t="s">
        <v>127</v>
      </c>
      <c r="D28" s="8">
        <v>59</v>
      </c>
      <c r="E28" s="8" t="str" cm="1">
        <f t="array" ref="E28">_xlfn.IFS(Data_Illuin[[#This Row],[Age]]&lt;40,"[0;40[",Data_Illuin[[#This Row],[Age]]&lt;50,"[40;50[",Data_Illuin[[#This Row],[Age]]&lt;60,"[50;60[",Data_Illuin[[#This Row],[Age]]&lt;70,"[60;70[",Data_Illuin[[#This Row],[Age]]&lt;80,"[70;80[",TRUE,"[80;+]")</f>
        <v>[50;60[</v>
      </c>
      <c r="F28" t="s">
        <v>20</v>
      </c>
      <c r="G28" t="s">
        <v>14</v>
      </c>
      <c r="H28" t="s">
        <v>21</v>
      </c>
      <c r="I28" s="4">
        <v>45864</v>
      </c>
      <c r="J28" s="3">
        <v>45864.147916666669</v>
      </c>
      <c r="K28" s="9">
        <f>TRUNC((J28-INT(Data_Illuin[[#This Row],[Date/heure contact]]))*24,0)</f>
        <v>3</v>
      </c>
      <c r="L28" s="9" t="b">
        <f>IF(AND(Data_Illuin[[#This Row],[Colonne1]]&gt;=8,Data_Illuin[[#This Row],[Colonne1]]&lt;=19),TRUE,FALSE)</f>
        <v>0</v>
      </c>
      <c r="M28" t="s">
        <v>48</v>
      </c>
      <c r="N28" t="s">
        <v>17</v>
      </c>
      <c r="O28" t="s">
        <v>40</v>
      </c>
      <c r="P28">
        <v>1</v>
      </c>
    </row>
    <row r="29" spans="1:16" x14ac:dyDescent="0.25">
      <c r="A29">
        <v>185437909</v>
      </c>
      <c r="B29" s="3">
        <v>45866.581185185183</v>
      </c>
      <c r="C29" s="7" t="s">
        <v>149</v>
      </c>
      <c r="D29" s="8">
        <v>62</v>
      </c>
      <c r="E29" s="8" t="str" cm="1">
        <f t="array" ref="E29">_xlfn.IFS(Data_Illuin[[#This Row],[Age]]&lt;40,"[0;40[",Data_Illuin[[#This Row],[Age]]&lt;50,"[40;50[",Data_Illuin[[#This Row],[Age]]&lt;60,"[50;60[",Data_Illuin[[#This Row],[Age]]&lt;70,"[60;70[",Data_Illuin[[#This Row],[Age]]&lt;80,"[70;80[",TRUE,"[80;+]")</f>
        <v>[60;70[</v>
      </c>
      <c r="F29" t="s">
        <v>13</v>
      </c>
      <c r="G29" t="s">
        <v>14</v>
      </c>
      <c r="H29" t="s">
        <v>21</v>
      </c>
      <c r="I29" s="4">
        <v>45864</v>
      </c>
      <c r="J29" s="3">
        <v>45864.262499999997</v>
      </c>
      <c r="K29" s="9">
        <f>TRUNC((J29-INT(Data_Illuin[[#This Row],[Date/heure contact]]))*24,0)</f>
        <v>6</v>
      </c>
      <c r="L29" s="9" t="b">
        <f>IF(AND(Data_Illuin[[#This Row],[Colonne1]]&gt;=8,Data_Illuin[[#This Row],[Colonne1]]&lt;=19),TRUE,FALSE)</f>
        <v>0</v>
      </c>
      <c r="M29" t="s">
        <v>49</v>
      </c>
      <c r="N29" t="s">
        <v>17</v>
      </c>
      <c r="O29" t="s">
        <v>18</v>
      </c>
      <c r="P29">
        <v>1</v>
      </c>
    </row>
    <row r="30" spans="1:16" x14ac:dyDescent="0.25">
      <c r="A30">
        <v>185021903</v>
      </c>
      <c r="B30" s="3">
        <v>45863.588074548614</v>
      </c>
      <c r="C30" s="7" t="s">
        <v>50</v>
      </c>
      <c r="D30" s="8">
        <v>30</v>
      </c>
      <c r="E30" s="8" t="str" cm="1">
        <f t="array" ref="E30">_xlfn.IFS(Data_Illuin[[#This Row],[Age]]&lt;40,"[0;40[",Data_Illuin[[#This Row],[Age]]&lt;50,"[40;50[",Data_Illuin[[#This Row],[Age]]&lt;60,"[50;60[",Data_Illuin[[#This Row],[Age]]&lt;70,"[60;70[",Data_Illuin[[#This Row],[Age]]&lt;80,"[70;80[",TRUE,"[80;+]")</f>
        <v>[0;40[</v>
      </c>
      <c r="F30" t="s">
        <v>20</v>
      </c>
      <c r="G30" t="s">
        <v>14</v>
      </c>
      <c r="H30" t="s">
        <v>21</v>
      </c>
      <c r="I30" s="4">
        <v>45862</v>
      </c>
      <c r="J30" s="3">
        <v>45861.984027777777</v>
      </c>
      <c r="K30" s="9">
        <f>TRUNC((J30-INT(Data_Illuin[[#This Row],[Date/heure contact]]))*24,0)</f>
        <v>23</v>
      </c>
      <c r="L30" s="9" t="b">
        <f>IF(AND(Data_Illuin[[#This Row],[Colonne1]]&gt;=8,Data_Illuin[[#This Row],[Colonne1]]&lt;=19),TRUE,FALSE)</f>
        <v>0</v>
      </c>
      <c r="M30" t="s">
        <v>51</v>
      </c>
      <c r="N30" t="s">
        <v>17</v>
      </c>
      <c r="O30" t="s">
        <v>18</v>
      </c>
      <c r="P30">
        <v>1</v>
      </c>
    </row>
    <row r="31" spans="1:16" x14ac:dyDescent="0.25">
      <c r="A31">
        <v>185021890</v>
      </c>
      <c r="B31" s="3">
        <v>45863.588074548614</v>
      </c>
      <c r="C31" s="7" t="s">
        <v>52</v>
      </c>
      <c r="D31" s="8">
        <v>54</v>
      </c>
      <c r="E31" s="8" t="str" cm="1">
        <f t="array" ref="E31">_xlfn.IFS(Data_Illuin[[#This Row],[Age]]&lt;40,"[0;40[",Data_Illuin[[#This Row],[Age]]&lt;50,"[40;50[",Data_Illuin[[#This Row],[Age]]&lt;60,"[50;60[",Data_Illuin[[#This Row],[Age]]&lt;70,"[60;70[",Data_Illuin[[#This Row],[Age]]&lt;80,"[70;80[",TRUE,"[80;+]")</f>
        <v>[50;60[</v>
      </c>
      <c r="F31" t="s">
        <v>13</v>
      </c>
      <c r="G31" t="s">
        <v>14</v>
      </c>
      <c r="H31" t="s">
        <v>21</v>
      </c>
      <c r="I31" s="4">
        <v>45862</v>
      </c>
      <c r="J31" s="3">
        <v>45862.044444444444</v>
      </c>
      <c r="K31" s="9">
        <f>TRUNC((J31-INT(Data_Illuin[[#This Row],[Date/heure contact]]))*24,0)</f>
        <v>1</v>
      </c>
      <c r="L31" s="9" t="b">
        <f>IF(AND(Data_Illuin[[#This Row],[Colonne1]]&gt;=8,Data_Illuin[[#This Row],[Colonne1]]&lt;=19),TRUE,FALSE)</f>
        <v>0</v>
      </c>
      <c r="M31" t="s">
        <v>53</v>
      </c>
      <c r="N31" t="s">
        <v>17</v>
      </c>
      <c r="O31" t="s">
        <v>40</v>
      </c>
      <c r="P31">
        <v>2</v>
      </c>
    </row>
    <row r="32" spans="1:16" x14ac:dyDescent="0.25">
      <c r="A32">
        <v>185021880</v>
      </c>
      <c r="B32" s="3">
        <v>45863.588074548614</v>
      </c>
      <c r="C32" s="7" t="s">
        <v>54</v>
      </c>
      <c r="D32" s="8">
        <v>59</v>
      </c>
      <c r="E32" s="8" t="str" cm="1">
        <f t="array" ref="E32">_xlfn.IFS(Data_Illuin[[#This Row],[Age]]&lt;40,"[0;40[",Data_Illuin[[#This Row],[Age]]&lt;50,"[40;50[",Data_Illuin[[#This Row],[Age]]&lt;60,"[50;60[",Data_Illuin[[#This Row],[Age]]&lt;70,"[60;70[",Data_Illuin[[#This Row],[Age]]&lt;80,"[70;80[",TRUE,"[80;+]")</f>
        <v>[50;60[</v>
      </c>
      <c r="F32" t="s">
        <v>13</v>
      </c>
      <c r="G32" t="s">
        <v>14</v>
      </c>
      <c r="H32" t="s">
        <v>21</v>
      </c>
      <c r="I32" s="4">
        <v>45862</v>
      </c>
      <c r="J32" s="3">
        <v>45862.07708333333</v>
      </c>
      <c r="K32" s="9">
        <f>TRUNC((J32-INT(Data_Illuin[[#This Row],[Date/heure contact]]))*24,0)</f>
        <v>1</v>
      </c>
      <c r="L32" s="9" t="b">
        <f>IF(AND(Data_Illuin[[#This Row],[Colonne1]]&gt;=8,Data_Illuin[[#This Row],[Colonne1]]&lt;=19),TRUE,FALSE)</f>
        <v>0</v>
      </c>
      <c r="M32" t="s">
        <v>55</v>
      </c>
      <c r="N32" t="s">
        <v>17</v>
      </c>
      <c r="O32" t="s">
        <v>18</v>
      </c>
      <c r="P32">
        <v>5</v>
      </c>
    </row>
    <row r="33" spans="1:16" x14ac:dyDescent="0.25">
      <c r="A33">
        <v>185021808</v>
      </c>
      <c r="B33" s="3">
        <v>45863.588074548614</v>
      </c>
      <c r="C33" s="7" t="s">
        <v>56</v>
      </c>
      <c r="D33" s="8">
        <v>73</v>
      </c>
      <c r="E33" s="8" t="str" cm="1">
        <f t="array" ref="E33">_xlfn.IFS(Data_Illuin[[#This Row],[Age]]&lt;40,"[0;40[",Data_Illuin[[#This Row],[Age]]&lt;50,"[40;50[",Data_Illuin[[#This Row],[Age]]&lt;60,"[50;60[",Data_Illuin[[#This Row],[Age]]&lt;70,"[60;70[",Data_Illuin[[#This Row],[Age]]&lt;80,"[70;80[",TRUE,"[80;+]")</f>
        <v>[70;80[</v>
      </c>
      <c r="F33" t="s">
        <v>20</v>
      </c>
      <c r="G33" t="s">
        <v>14</v>
      </c>
      <c r="H33" t="s">
        <v>21</v>
      </c>
      <c r="I33" s="4">
        <v>45862</v>
      </c>
      <c r="J33" s="3">
        <v>45862.545138888891</v>
      </c>
      <c r="K33" s="9">
        <f>TRUNC((J33-INT(Data_Illuin[[#This Row],[Date/heure contact]]))*24,0)</f>
        <v>13</v>
      </c>
      <c r="L33" s="9" t="b">
        <f>IF(AND(Data_Illuin[[#This Row],[Colonne1]]&gt;=8,Data_Illuin[[#This Row],[Colonne1]]&lt;=19),TRUE,FALSE)</f>
        <v>1</v>
      </c>
      <c r="M33" t="s">
        <v>57</v>
      </c>
      <c r="N33" t="s">
        <v>17</v>
      </c>
      <c r="O33" t="s">
        <v>40</v>
      </c>
      <c r="P33">
        <v>5</v>
      </c>
    </row>
    <row r="34" spans="1:16" x14ac:dyDescent="0.25">
      <c r="A34">
        <v>184738719</v>
      </c>
      <c r="B34" s="3">
        <v>45862.48469070602</v>
      </c>
      <c r="C34" s="7" t="s">
        <v>58</v>
      </c>
      <c r="D34" s="8">
        <v>59</v>
      </c>
      <c r="E34" s="8" t="str" cm="1">
        <f t="array" ref="E34">_xlfn.IFS(Data_Illuin[[#This Row],[Age]]&lt;40,"[0;40[",Data_Illuin[[#This Row],[Age]]&lt;50,"[40;50[",Data_Illuin[[#This Row],[Age]]&lt;60,"[50;60[",Data_Illuin[[#This Row],[Age]]&lt;70,"[60;70[",Data_Illuin[[#This Row],[Age]]&lt;80,"[70;80[",TRUE,"[80;+]")</f>
        <v>[50;60[</v>
      </c>
      <c r="F34" t="s">
        <v>13</v>
      </c>
      <c r="G34" t="s">
        <v>14</v>
      </c>
      <c r="H34" t="s">
        <v>21</v>
      </c>
      <c r="I34" s="4">
        <v>45861</v>
      </c>
      <c r="J34" s="3">
        <v>45861.206944444442</v>
      </c>
      <c r="K34" s="9">
        <f>TRUNC((J34-INT(Data_Illuin[[#This Row],[Date/heure contact]]))*24,0)</f>
        <v>4</v>
      </c>
      <c r="L34" s="9" t="b">
        <f>IF(AND(Data_Illuin[[#This Row],[Colonne1]]&gt;=8,Data_Illuin[[#This Row],[Colonne1]]&lt;=19),TRUE,FALSE)</f>
        <v>0</v>
      </c>
      <c r="M34" t="s">
        <v>59</v>
      </c>
      <c r="N34" t="s">
        <v>17</v>
      </c>
      <c r="O34" t="s">
        <v>18</v>
      </c>
      <c r="P34">
        <v>5</v>
      </c>
    </row>
    <row r="35" spans="1:16" x14ac:dyDescent="0.25">
      <c r="A35">
        <v>184738716</v>
      </c>
      <c r="B35" s="3">
        <v>45862.48469070602</v>
      </c>
      <c r="C35" s="7" t="s">
        <v>60</v>
      </c>
      <c r="D35" s="8">
        <v>69</v>
      </c>
      <c r="E35" s="8" t="str" cm="1">
        <f t="array" ref="E35">_xlfn.IFS(Data_Illuin[[#This Row],[Age]]&lt;40,"[0;40[",Data_Illuin[[#This Row],[Age]]&lt;50,"[40;50[",Data_Illuin[[#This Row],[Age]]&lt;60,"[50;60[",Data_Illuin[[#This Row],[Age]]&lt;70,"[60;70[",Data_Illuin[[#This Row],[Age]]&lt;80,"[70;80[",TRUE,"[80;+]")</f>
        <v>[60;70[</v>
      </c>
      <c r="F35" t="s">
        <v>20</v>
      </c>
      <c r="G35" t="s">
        <v>14</v>
      </c>
      <c r="H35" t="s">
        <v>21</v>
      </c>
      <c r="I35" s="4">
        <v>45861</v>
      </c>
      <c r="J35" s="3">
        <v>45861.242361111108</v>
      </c>
      <c r="K35" s="9">
        <f>TRUNC((J35-INT(Data_Illuin[[#This Row],[Date/heure contact]]))*24,0)</f>
        <v>5</v>
      </c>
      <c r="L35" s="9" t="b">
        <f>IF(AND(Data_Illuin[[#This Row],[Colonne1]]&gt;=8,Data_Illuin[[#This Row],[Colonne1]]&lt;=19),TRUE,FALSE)</f>
        <v>0</v>
      </c>
      <c r="M35" t="s">
        <v>61</v>
      </c>
      <c r="N35" t="s">
        <v>17</v>
      </c>
      <c r="O35" t="s">
        <v>18</v>
      </c>
      <c r="P35">
        <v>1</v>
      </c>
    </row>
    <row r="36" spans="1:16" x14ac:dyDescent="0.25">
      <c r="A36">
        <v>184738698</v>
      </c>
      <c r="B36" s="3">
        <v>45862.48469070602</v>
      </c>
      <c r="C36" s="7" t="s">
        <v>62</v>
      </c>
      <c r="D36" s="8">
        <v>23</v>
      </c>
      <c r="E36" s="8" t="str" cm="1">
        <f t="array" ref="E36">_xlfn.IFS(Data_Illuin[[#This Row],[Age]]&lt;40,"[0;40[",Data_Illuin[[#This Row],[Age]]&lt;50,"[40;50[",Data_Illuin[[#This Row],[Age]]&lt;60,"[50;60[",Data_Illuin[[#This Row],[Age]]&lt;70,"[60;70[",Data_Illuin[[#This Row],[Age]]&lt;80,"[70;80[",TRUE,"[80;+]")</f>
        <v>[0;40[</v>
      </c>
      <c r="F36" t="s">
        <v>20</v>
      </c>
      <c r="G36" t="s">
        <v>14</v>
      </c>
      <c r="H36" t="s">
        <v>21</v>
      </c>
      <c r="I36" s="4">
        <v>45861</v>
      </c>
      <c r="J36" s="3">
        <v>45861.311111111114</v>
      </c>
      <c r="K36" s="9">
        <f>TRUNC((J36-INT(Data_Illuin[[#This Row],[Date/heure contact]]))*24,0)</f>
        <v>7</v>
      </c>
      <c r="L36" s="9" t="b">
        <f>IF(AND(Data_Illuin[[#This Row],[Colonne1]]&gt;=8,Data_Illuin[[#This Row],[Colonne1]]&lt;=19),TRUE,FALSE)</f>
        <v>0</v>
      </c>
      <c r="M36" t="s">
        <v>63</v>
      </c>
      <c r="N36" t="s">
        <v>17</v>
      </c>
      <c r="O36" t="s">
        <v>18</v>
      </c>
      <c r="P36">
        <v>2</v>
      </c>
    </row>
    <row r="37" spans="1:16" x14ac:dyDescent="0.25">
      <c r="A37">
        <v>184565515</v>
      </c>
      <c r="B37" s="3">
        <v>45861.487045578702</v>
      </c>
      <c r="C37" s="7" t="s">
        <v>64</v>
      </c>
      <c r="D37" s="8">
        <v>52</v>
      </c>
      <c r="E37" s="8" t="str" cm="1">
        <f t="array" ref="E37">_xlfn.IFS(Data_Illuin[[#This Row],[Age]]&lt;40,"[0;40[",Data_Illuin[[#This Row],[Age]]&lt;50,"[40;50[",Data_Illuin[[#This Row],[Age]]&lt;60,"[50;60[",Data_Illuin[[#This Row],[Age]]&lt;70,"[60;70[",Data_Illuin[[#This Row],[Age]]&lt;80,"[70;80[",TRUE,"[80;+]")</f>
        <v>[50;60[</v>
      </c>
      <c r="F37" t="s">
        <v>20</v>
      </c>
      <c r="G37" t="s">
        <v>14</v>
      </c>
      <c r="H37" t="s">
        <v>21</v>
      </c>
      <c r="I37" s="4">
        <v>45860</v>
      </c>
      <c r="J37" s="3">
        <v>45860.020833333336</v>
      </c>
      <c r="K37" s="9">
        <f>TRUNC((J37-INT(Data_Illuin[[#This Row],[Date/heure contact]]))*24,0)</f>
        <v>0</v>
      </c>
      <c r="L37" s="9" t="b">
        <f>IF(AND(Data_Illuin[[#This Row],[Colonne1]]&gt;=8,Data_Illuin[[#This Row],[Colonne1]]&lt;=19),TRUE,FALSE)</f>
        <v>0</v>
      </c>
      <c r="M37" t="s">
        <v>65</v>
      </c>
      <c r="N37" t="s">
        <v>17</v>
      </c>
      <c r="O37" t="s">
        <v>18</v>
      </c>
      <c r="P37">
        <v>5</v>
      </c>
    </row>
    <row r="38" spans="1:16" x14ac:dyDescent="0.25">
      <c r="A38">
        <v>184565500</v>
      </c>
      <c r="B38" s="3">
        <v>45861.487045578702</v>
      </c>
      <c r="C38" s="7" t="s">
        <v>66</v>
      </c>
      <c r="D38" s="8">
        <v>44</v>
      </c>
      <c r="E38" s="8" t="str" cm="1">
        <f t="array" ref="E38">_xlfn.IFS(Data_Illuin[[#This Row],[Age]]&lt;40,"[0;40[",Data_Illuin[[#This Row],[Age]]&lt;50,"[40;50[",Data_Illuin[[#This Row],[Age]]&lt;60,"[50;60[",Data_Illuin[[#This Row],[Age]]&lt;70,"[60;70[",Data_Illuin[[#This Row],[Age]]&lt;80,"[70;80[",TRUE,"[80;+]")</f>
        <v>[40;50[</v>
      </c>
      <c r="F38" t="s">
        <v>20</v>
      </c>
      <c r="G38" t="s">
        <v>14</v>
      </c>
      <c r="H38" t="s">
        <v>21</v>
      </c>
      <c r="I38" s="4">
        <v>45860</v>
      </c>
      <c r="J38" s="3">
        <v>45860.054861111108</v>
      </c>
      <c r="K38" s="9">
        <f>TRUNC((J38-INT(Data_Illuin[[#This Row],[Date/heure contact]]))*24,0)</f>
        <v>1</v>
      </c>
      <c r="L38" s="9" t="b">
        <f>IF(AND(Data_Illuin[[#This Row],[Colonne1]]&gt;=8,Data_Illuin[[#This Row],[Colonne1]]&lt;=19),TRUE,FALSE)</f>
        <v>0</v>
      </c>
      <c r="M38" t="s">
        <v>67</v>
      </c>
      <c r="N38" t="s">
        <v>17</v>
      </c>
      <c r="O38" t="s">
        <v>40</v>
      </c>
      <c r="P38">
        <v>1</v>
      </c>
    </row>
    <row r="39" spans="1:16" x14ac:dyDescent="0.25">
      <c r="A39">
        <v>184565489</v>
      </c>
      <c r="B39" s="3">
        <v>45861.487045578702</v>
      </c>
      <c r="C39" s="7" t="s">
        <v>68</v>
      </c>
      <c r="D39" s="8">
        <v>73</v>
      </c>
      <c r="E39" s="8" t="str" cm="1">
        <f t="array" ref="E39">_xlfn.IFS(Data_Illuin[[#This Row],[Age]]&lt;40,"[0;40[",Data_Illuin[[#This Row],[Age]]&lt;50,"[40;50[",Data_Illuin[[#This Row],[Age]]&lt;60,"[50;60[",Data_Illuin[[#This Row],[Age]]&lt;70,"[60;70[",Data_Illuin[[#This Row],[Age]]&lt;80,"[70;80[",TRUE,"[80;+]")</f>
        <v>[70;80[</v>
      </c>
      <c r="F39" t="s">
        <v>13</v>
      </c>
      <c r="G39" t="s">
        <v>14</v>
      </c>
      <c r="H39" t="s">
        <v>21</v>
      </c>
      <c r="I39" s="4">
        <v>45860</v>
      </c>
      <c r="J39" s="3">
        <v>45860.075694444444</v>
      </c>
      <c r="K39" s="9">
        <f>TRUNC((J39-INT(Data_Illuin[[#This Row],[Date/heure contact]]))*24,0)</f>
        <v>1</v>
      </c>
      <c r="L39" s="9" t="b">
        <f>IF(AND(Data_Illuin[[#This Row],[Colonne1]]&gt;=8,Data_Illuin[[#This Row],[Colonne1]]&lt;=19),TRUE,FALSE)</f>
        <v>0</v>
      </c>
      <c r="M39" t="s">
        <v>69</v>
      </c>
      <c r="N39" t="s">
        <v>17</v>
      </c>
      <c r="O39" t="s">
        <v>18</v>
      </c>
      <c r="P39">
        <v>4</v>
      </c>
    </row>
    <row r="40" spans="1:16" x14ac:dyDescent="0.25">
      <c r="A40">
        <v>184565480</v>
      </c>
      <c r="B40" s="3">
        <v>45861.487045578702</v>
      </c>
      <c r="C40" s="7" t="s">
        <v>70</v>
      </c>
      <c r="D40" s="8">
        <v>74</v>
      </c>
      <c r="E40" s="8" t="str" cm="1">
        <f t="array" ref="E40">_xlfn.IFS(Data_Illuin[[#This Row],[Age]]&lt;40,"[0;40[",Data_Illuin[[#This Row],[Age]]&lt;50,"[40;50[",Data_Illuin[[#This Row],[Age]]&lt;60,"[50;60[",Data_Illuin[[#This Row],[Age]]&lt;70,"[60;70[",Data_Illuin[[#This Row],[Age]]&lt;80,"[70;80[",TRUE,"[80;+]")</f>
        <v>[70;80[</v>
      </c>
      <c r="F40" t="s">
        <v>13</v>
      </c>
      <c r="G40" t="s">
        <v>14</v>
      </c>
      <c r="H40" t="s">
        <v>21</v>
      </c>
      <c r="I40" s="4">
        <v>45860</v>
      </c>
      <c r="J40" s="3">
        <v>45860.106249999997</v>
      </c>
      <c r="K40" s="9">
        <f>TRUNC((J40-INT(Data_Illuin[[#This Row],[Date/heure contact]]))*24,0)</f>
        <v>2</v>
      </c>
      <c r="L40" s="9" t="b">
        <f>IF(AND(Data_Illuin[[#This Row],[Colonne1]]&gt;=8,Data_Illuin[[#This Row],[Colonne1]]&lt;=19),TRUE,FALSE)</f>
        <v>0</v>
      </c>
      <c r="M40" t="s">
        <v>71</v>
      </c>
      <c r="N40" t="s">
        <v>17</v>
      </c>
      <c r="O40" t="s">
        <v>18</v>
      </c>
      <c r="P40">
        <v>2</v>
      </c>
    </row>
    <row r="41" spans="1:16" x14ac:dyDescent="0.25">
      <c r="A41">
        <v>184565475</v>
      </c>
      <c r="B41" s="3">
        <v>45861.487045578702</v>
      </c>
      <c r="C41" s="7" t="s">
        <v>72</v>
      </c>
      <c r="D41" s="8">
        <v>80</v>
      </c>
      <c r="E41" s="8" t="str" cm="1">
        <f t="array" ref="E41">_xlfn.IFS(Data_Illuin[[#This Row],[Age]]&lt;40,"[0;40[",Data_Illuin[[#This Row],[Age]]&lt;50,"[40;50[",Data_Illuin[[#This Row],[Age]]&lt;60,"[50;60[",Data_Illuin[[#This Row],[Age]]&lt;70,"[60;70[",Data_Illuin[[#This Row],[Age]]&lt;80,"[70;80[",TRUE,"[80;+]")</f>
        <v>[80;+]</v>
      </c>
      <c r="F41" t="s">
        <v>13</v>
      </c>
      <c r="G41" t="s">
        <v>14</v>
      </c>
      <c r="H41" t="s">
        <v>21</v>
      </c>
      <c r="I41" s="4">
        <v>45860</v>
      </c>
      <c r="J41" s="3">
        <v>45860.116666666669</v>
      </c>
      <c r="K41" s="9">
        <f>TRUNC((J41-INT(Data_Illuin[[#This Row],[Date/heure contact]]))*24,0)</f>
        <v>2</v>
      </c>
      <c r="L41" s="9" t="b">
        <f>IF(AND(Data_Illuin[[#This Row],[Colonne1]]&gt;=8,Data_Illuin[[#This Row],[Colonne1]]&lt;=19),TRUE,FALSE)</f>
        <v>0</v>
      </c>
      <c r="M41" t="s">
        <v>73</v>
      </c>
      <c r="N41" t="s">
        <v>17</v>
      </c>
      <c r="O41" t="s">
        <v>18</v>
      </c>
      <c r="P41">
        <v>4</v>
      </c>
    </row>
    <row r="42" spans="1:16" x14ac:dyDescent="0.25">
      <c r="A42">
        <v>184565460</v>
      </c>
      <c r="B42" s="3">
        <v>45861.487045578702</v>
      </c>
      <c r="C42" s="7" t="s">
        <v>74</v>
      </c>
      <c r="D42" s="8">
        <v>65</v>
      </c>
      <c r="E42" s="8" t="str" cm="1">
        <f t="array" ref="E42">_xlfn.IFS(Data_Illuin[[#This Row],[Age]]&lt;40,"[0;40[",Data_Illuin[[#This Row],[Age]]&lt;50,"[40;50[",Data_Illuin[[#This Row],[Age]]&lt;60,"[50;60[",Data_Illuin[[#This Row],[Age]]&lt;70,"[60;70[",Data_Illuin[[#This Row],[Age]]&lt;80,"[70;80[",TRUE,"[80;+]")</f>
        <v>[60;70[</v>
      </c>
      <c r="F42" t="s">
        <v>13</v>
      </c>
      <c r="G42" t="s">
        <v>14</v>
      </c>
      <c r="H42" t="s">
        <v>21</v>
      </c>
      <c r="I42" s="4">
        <v>45860</v>
      </c>
      <c r="J42" s="3">
        <v>45860.205555555556</v>
      </c>
      <c r="K42" s="9">
        <f>TRUNC((J42-INT(Data_Illuin[[#This Row],[Date/heure contact]]))*24,0)</f>
        <v>4</v>
      </c>
      <c r="L42" s="9" t="b">
        <f>IF(AND(Data_Illuin[[#This Row],[Colonne1]]&gt;=8,Data_Illuin[[#This Row],[Colonne1]]&lt;=19),TRUE,FALSE)</f>
        <v>0</v>
      </c>
      <c r="M42" t="s">
        <v>75</v>
      </c>
      <c r="N42" t="s">
        <v>17</v>
      </c>
      <c r="O42" t="s">
        <v>18</v>
      </c>
      <c r="P42">
        <v>1</v>
      </c>
    </row>
    <row r="43" spans="1:16" x14ac:dyDescent="0.25">
      <c r="A43">
        <v>184565447</v>
      </c>
      <c r="B43" s="3">
        <v>45861.487045578702</v>
      </c>
      <c r="C43" s="7" t="s">
        <v>76</v>
      </c>
      <c r="D43" s="8">
        <v>43</v>
      </c>
      <c r="E43" s="8" t="str" cm="1">
        <f t="array" ref="E43">_xlfn.IFS(Data_Illuin[[#This Row],[Age]]&lt;40,"[0;40[",Data_Illuin[[#This Row],[Age]]&lt;50,"[40;50[",Data_Illuin[[#This Row],[Age]]&lt;60,"[50;60[",Data_Illuin[[#This Row],[Age]]&lt;70,"[60;70[",Data_Illuin[[#This Row],[Age]]&lt;80,"[70;80[",TRUE,"[80;+]")</f>
        <v>[40;50[</v>
      </c>
      <c r="F43" t="s">
        <v>13</v>
      </c>
      <c r="G43" t="s">
        <v>14</v>
      </c>
      <c r="H43" t="s">
        <v>21</v>
      </c>
      <c r="I43" s="4">
        <v>45860</v>
      </c>
      <c r="J43" s="3">
        <v>45860.25</v>
      </c>
      <c r="K43" s="9">
        <f>TRUNC((J43-INT(Data_Illuin[[#This Row],[Date/heure contact]]))*24,0)</f>
        <v>6</v>
      </c>
      <c r="L43" s="9" t="b">
        <f>IF(AND(Data_Illuin[[#This Row],[Colonne1]]&gt;=8,Data_Illuin[[#This Row],[Colonne1]]&lt;=19),TRUE,FALSE)</f>
        <v>0</v>
      </c>
      <c r="M43" t="s">
        <v>77</v>
      </c>
      <c r="N43" t="s">
        <v>17</v>
      </c>
      <c r="O43" t="s">
        <v>40</v>
      </c>
      <c r="P43">
        <v>5</v>
      </c>
    </row>
    <row r="44" spans="1:16" x14ac:dyDescent="0.25">
      <c r="A44">
        <v>184565410</v>
      </c>
      <c r="B44" s="3">
        <v>45861.487045578702</v>
      </c>
      <c r="C44" s="7" t="s">
        <v>78</v>
      </c>
      <c r="D44" s="8">
        <v>66</v>
      </c>
      <c r="E44" s="8" t="str" cm="1">
        <f t="array" ref="E44">_xlfn.IFS(Data_Illuin[[#This Row],[Age]]&lt;40,"[0;40[",Data_Illuin[[#This Row],[Age]]&lt;50,"[40;50[",Data_Illuin[[#This Row],[Age]]&lt;60,"[50;60[",Data_Illuin[[#This Row],[Age]]&lt;70,"[60;70[",Data_Illuin[[#This Row],[Age]]&lt;80,"[70;80[",TRUE,"[80;+]")</f>
        <v>[60;70[</v>
      </c>
      <c r="F44" t="s">
        <v>13</v>
      </c>
      <c r="G44" t="s">
        <v>14</v>
      </c>
      <c r="H44" t="s">
        <v>21</v>
      </c>
      <c r="I44" s="4">
        <v>45860</v>
      </c>
      <c r="J44" s="3">
        <v>45860.337500000001</v>
      </c>
      <c r="K44" s="9">
        <f>TRUNC((J44-INT(Data_Illuin[[#This Row],[Date/heure contact]]))*24,0)</f>
        <v>8</v>
      </c>
      <c r="L44" s="9" t="b">
        <f>IF(AND(Data_Illuin[[#This Row],[Colonne1]]&gt;=8,Data_Illuin[[#This Row],[Colonne1]]&lt;=19),TRUE,FALSE)</f>
        <v>1</v>
      </c>
      <c r="M44" t="s">
        <v>79</v>
      </c>
      <c r="N44" t="s">
        <v>17</v>
      </c>
      <c r="O44" t="s">
        <v>18</v>
      </c>
      <c r="P44">
        <v>5</v>
      </c>
    </row>
    <row r="45" spans="1:16" x14ac:dyDescent="0.25">
      <c r="A45">
        <v>184565400</v>
      </c>
      <c r="B45" s="3">
        <v>45861.487045578702</v>
      </c>
      <c r="C45" s="7" t="s">
        <v>80</v>
      </c>
      <c r="D45" s="8">
        <v>55</v>
      </c>
      <c r="E45" s="8" t="str" cm="1">
        <f t="array" ref="E45">_xlfn.IFS(Data_Illuin[[#This Row],[Age]]&lt;40,"[0;40[",Data_Illuin[[#This Row],[Age]]&lt;50,"[40;50[",Data_Illuin[[#This Row],[Age]]&lt;60,"[50;60[",Data_Illuin[[#This Row],[Age]]&lt;70,"[60;70[",Data_Illuin[[#This Row],[Age]]&lt;80,"[70;80[",TRUE,"[80;+]")</f>
        <v>[50;60[</v>
      </c>
      <c r="F45" t="s">
        <v>20</v>
      </c>
      <c r="G45" t="s">
        <v>14</v>
      </c>
      <c r="H45" t="s">
        <v>21</v>
      </c>
      <c r="I45" s="4">
        <v>45860</v>
      </c>
      <c r="J45" s="3">
        <v>45860.37222222222</v>
      </c>
      <c r="K45" s="9">
        <f>TRUNC((J45-INT(Data_Illuin[[#This Row],[Date/heure contact]]))*24,0)</f>
        <v>8</v>
      </c>
      <c r="L45" s="9" t="b">
        <f>IF(AND(Data_Illuin[[#This Row],[Colonne1]]&gt;=8,Data_Illuin[[#This Row],[Colonne1]]&lt;=19),TRUE,FALSE)</f>
        <v>1</v>
      </c>
      <c r="M45" t="s">
        <v>81</v>
      </c>
      <c r="N45" t="s">
        <v>17</v>
      </c>
      <c r="O45" t="s">
        <v>18</v>
      </c>
      <c r="P45">
        <v>5</v>
      </c>
    </row>
    <row r="46" spans="1:16" x14ac:dyDescent="0.25">
      <c r="A46">
        <v>184565396</v>
      </c>
      <c r="B46" s="3">
        <v>45861.487045578702</v>
      </c>
      <c r="C46" s="7" t="s">
        <v>82</v>
      </c>
      <c r="D46" s="8">
        <v>76</v>
      </c>
      <c r="E46" s="8" t="str" cm="1">
        <f t="array" ref="E46">_xlfn.IFS(Data_Illuin[[#This Row],[Age]]&lt;40,"[0;40[",Data_Illuin[[#This Row],[Age]]&lt;50,"[40;50[",Data_Illuin[[#This Row],[Age]]&lt;60,"[50;60[",Data_Illuin[[#This Row],[Age]]&lt;70,"[60;70[",Data_Illuin[[#This Row],[Age]]&lt;80,"[70;80[",TRUE,"[80;+]")</f>
        <v>[70;80[</v>
      </c>
      <c r="F46" t="s">
        <v>20</v>
      </c>
      <c r="G46" t="s">
        <v>14</v>
      </c>
      <c r="H46" t="s">
        <v>21</v>
      </c>
      <c r="I46" s="4">
        <v>45860</v>
      </c>
      <c r="J46" s="3">
        <v>45860.414583333331</v>
      </c>
      <c r="K46" s="9">
        <f>TRUNC((J46-INT(Data_Illuin[[#This Row],[Date/heure contact]]))*24,0)</f>
        <v>9</v>
      </c>
      <c r="L46" s="9" t="b">
        <f>IF(AND(Data_Illuin[[#This Row],[Colonne1]]&gt;=8,Data_Illuin[[#This Row],[Colonne1]]&lt;=19),TRUE,FALSE)</f>
        <v>1</v>
      </c>
      <c r="M46" t="s">
        <v>83</v>
      </c>
      <c r="N46" t="s">
        <v>17</v>
      </c>
      <c r="O46" t="s">
        <v>18</v>
      </c>
      <c r="P46">
        <v>5</v>
      </c>
    </row>
    <row r="47" spans="1:16" x14ac:dyDescent="0.25">
      <c r="A47">
        <v>184565390</v>
      </c>
      <c r="B47" s="3">
        <v>45861.487045578702</v>
      </c>
      <c r="C47" s="7" t="s">
        <v>84</v>
      </c>
      <c r="D47" s="8">
        <v>49</v>
      </c>
      <c r="E47" s="8" t="str" cm="1">
        <f t="array" ref="E47">_xlfn.IFS(Data_Illuin[[#This Row],[Age]]&lt;40,"[0;40[",Data_Illuin[[#This Row],[Age]]&lt;50,"[40;50[",Data_Illuin[[#This Row],[Age]]&lt;60,"[50;60[",Data_Illuin[[#This Row],[Age]]&lt;70,"[60;70[",Data_Illuin[[#This Row],[Age]]&lt;80,"[70;80[",TRUE,"[80;+]")</f>
        <v>[40;50[</v>
      </c>
      <c r="F47" t="s">
        <v>20</v>
      </c>
      <c r="G47" t="s">
        <v>14</v>
      </c>
      <c r="H47" t="s">
        <v>21</v>
      </c>
      <c r="I47" s="4">
        <v>45860</v>
      </c>
      <c r="J47" s="3">
        <v>45860.445138888892</v>
      </c>
      <c r="K47" s="9">
        <f>TRUNC((J47-INT(Data_Illuin[[#This Row],[Date/heure contact]]))*24,0)</f>
        <v>10</v>
      </c>
      <c r="L47" s="9" t="b">
        <f>IF(AND(Data_Illuin[[#This Row],[Colonne1]]&gt;=8,Data_Illuin[[#This Row],[Colonne1]]&lt;=19),TRUE,FALSE)</f>
        <v>1</v>
      </c>
      <c r="M47" t="s">
        <v>85</v>
      </c>
      <c r="N47" t="s">
        <v>17</v>
      </c>
      <c r="O47" t="s">
        <v>40</v>
      </c>
      <c r="P47">
        <v>1</v>
      </c>
    </row>
    <row r="48" spans="1:16" x14ac:dyDescent="0.25">
      <c r="A48">
        <v>184376524</v>
      </c>
      <c r="B48" s="3">
        <v>45860.474140312501</v>
      </c>
      <c r="C48" s="7" t="s">
        <v>86</v>
      </c>
      <c r="D48" s="8">
        <v>59</v>
      </c>
      <c r="E48" s="8" t="str" cm="1">
        <f t="array" ref="E48">_xlfn.IFS(Data_Illuin[[#This Row],[Age]]&lt;40,"[0;40[",Data_Illuin[[#This Row],[Age]]&lt;50,"[40;50[",Data_Illuin[[#This Row],[Age]]&lt;60,"[50;60[",Data_Illuin[[#This Row],[Age]]&lt;70,"[60;70[",Data_Illuin[[#This Row],[Age]]&lt;80,"[70;80[",TRUE,"[80;+]")</f>
        <v>[50;60[</v>
      </c>
      <c r="F48" t="s">
        <v>20</v>
      </c>
      <c r="G48" t="s">
        <v>14</v>
      </c>
      <c r="H48" t="s">
        <v>21</v>
      </c>
      <c r="I48" s="4">
        <v>45859</v>
      </c>
      <c r="J48" s="3">
        <v>45859.001388888886</v>
      </c>
      <c r="K48" s="9">
        <f>TRUNC((J48-INT(Data_Illuin[[#This Row],[Date/heure contact]]))*24,0)</f>
        <v>0</v>
      </c>
      <c r="L48" s="9" t="b">
        <f>IF(AND(Data_Illuin[[#This Row],[Colonne1]]&gt;=8,Data_Illuin[[#This Row],[Colonne1]]&lt;=19),TRUE,FALSE)</f>
        <v>0</v>
      </c>
      <c r="M48" t="s">
        <v>87</v>
      </c>
      <c r="N48" t="s">
        <v>17</v>
      </c>
      <c r="O48" t="s">
        <v>40</v>
      </c>
      <c r="P48">
        <v>5</v>
      </c>
    </row>
    <row r="49" spans="1:16" x14ac:dyDescent="0.25">
      <c r="A49">
        <v>184376514</v>
      </c>
      <c r="B49" s="3">
        <v>45860.474140312501</v>
      </c>
      <c r="C49" s="7" t="s">
        <v>88</v>
      </c>
      <c r="D49" s="8">
        <v>63</v>
      </c>
      <c r="E49" s="8" t="str" cm="1">
        <f t="array" ref="E49">_xlfn.IFS(Data_Illuin[[#This Row],[Age]]&lt;40,"[0;40[",Data_Illuin[[#This Row],[Age]]&lt;50,"[40;50[",Data_Illuin[[#This Row],[Age]]&lt;60,"[50;60[",Data_Illuin[[#This Row],[Age]]&lt;70,"[60;70[",Data_Illuin[[#This Row],[Age]]&lt;80,"[70;80[",TRUE,"[80;+]")</f>
        <v>[60;70[</v>
      </c>
      <c r="F49" t="s">
        <v>13</v>
      </c>
      <c r="G49" t="s">
        <v>14</v>
      </c>
      <c r="H49" t="s">
        <v>21</v>
      </c>
      <c r="I49" s="4">
        <v>45859</v>
      </c>
      <c r="J49" s="3">
        <v>45859.036805555559</v>
      </c>
      <c r="K49" s="9">
        <f>TRUNC((J49-INT(Data_Illuin[[#This Row],[Date/heure contact]]))*24,0)</f>
        <v>0</v>
      </c>
      <c r="L49" s="9" t="b">
        <f>IF(AND(Data_Illuin[[#This Row],[Colonne1]]&gt;=8,Data_Illuin[[#This Row],[Colonne1]]&lt;=19),TRUE,FALSE)</f>
        <v>0</v>
      </c>
      <c r="M49" t="s">
        <v>89</v>
      </c>
      <c r="N49" t="s">
        <v>17</v>
      </c>
      <c r="O49" t="s">
        <v>18</v>
      </c>
      <c r="P49">
        <v>2</v>
      </c>
    </row>
    <row r="50" spans="1:16" x14ac:dyDescent="0.25">
      <c r="A50">
        <v>184376499</v>
      </c>
      <c r="B50" s="3">
        <v>45860.474140312501</v>
      </c>
      <c r="C50" s="7" t="s">
        <v>90</v>
      </c>
      <c r="D50" s="8">
        <v>69</v>
      </c>
      <c r="E50" s="8" t="str" cm="1">
        <f t="array" ref="E50">_xlfn.IFS(Data_Illuin[[#This Row],[Age]]&lt;40,"[0;40[",Data_Illuin[[#This Row],[Age]]&lt;50,"[40;50[",Data_Illuin[[#This Row],[Age]]&lt;60,"[50;60[",Data_Illuin[[#This Row],[Age]]&lt;70,"[60;70[",Data_Illuin[[#This Row],[Age]]&lt;80,"[70;80[",TRUE,"[80;+]")</f>
        <v>[60;70[</v>
      </c>
      <c r="F50" t="s">
        <v>13</v>
      </c>
      <c r="G50" t="s">
        <v>14</v>
      </c>
      <c r="H50" t="s">
        <v>21</v>
      </c>
      <c r="I50" s="4">
        <v>45859</v>
      </c>
      <c r="J50" s="3">
        <v>45859.091666666667</v>
      </c>
      <c r="K50" s="9">
        <f>TRUNC((J50-INT(Data_Illuin[[#This Row],[Date/heure contact]]))*24,0)</f>
        <v>2</v>
      </c>
      <c r="L50" s="9" t="b">
        <f>IF(AND(Data_Illuin[[#This Row],[Colonne1]]&gt;=8,Data_Illuin[[#This Row],[Colonne1]]&lt;=19),TRUE,FALSE)</f>
        <v>0</v>
      </c>
      <c r="M50" t="s">
        <v>91</v>
      </c>
      <c r="N50" t="s">
        <v>17</v>
      </c>
      <c r="O50" t="s">
        <v>18</v>
      </c>
      <c r="P50">
        <v>2</v>
      </c>
    </row>
    <row r="51" spans="1:16" x14ac:dyDescent="0.25">
      <c r="A51">
        <v>184376495</v>
      </c>
      <c r="B51" s="3">
        <v>45860.474140312501</v>
      </c>
      <c r="C51" s="7" t="s">
        <v>92</v>
      </c>
      <c r="D51" s="8">
        <v>53</v>
      </c>
      <c r="E51" s="8" t="str" cm="1">
        <f t="array" ref="E51">_xlfn.IFS(Data_Illuin[[#This Row],[Age]]&lt;40,"[0;40[",Data_Illuin[[#This Row],[Age]]&lt;50,"[40;50[",Data_Illuin[[#This Row],[Age]]&lt;60,"[50;60[",Data_Illuin[[#This Row],[Age]]&lt;70,"[60;70[",Data_Illuin[[#This Row],[Age]]&lt;80,"[70;80[",TRUE,"[80;+]")</f>
        <v>[50;60[</v>
      </c>
      <c r="F51" t="s">
        <v>20</v>
      </c>
      <c r="G51" t="s">
        <v>14</v>
      </c>
      <c r="H51" t="s">
        <v>21</v>
      </c>
      <c r="I51" s="4">
        <v>45859</v>
      </c>
      <c r="J51" s="3">
        <v>45859.100694444445</v>
      </c>
      <c r="K51" s="9">
        <f>TRUNC((J51-INT(Data_Illuin[[#This Row],[Date/heure contact]]))*24,0)</f>
        <v>2</v>
      </c>
      <c r="L51" s="9" t="b">
        <f>IF(AND(Data_Illuin[[#This Row],[Colonne1]]&gt;=8,Data_Illuin[[#This Row],[Colonne1]]&lt;=19),TRUE,FALSE)</f>
        <v>0</v>
      </c>
      <c r="M51" t="s">
        <v>93</v>
      </c>
      <c r="N51" t="s">
        <v>17</v>
      </c>
      <c r="O51" t="s">
        <v>18</v>
      </c>
      <c r="P51">
        <v>1</v>
      </c>
    </row>
    <row r="52" spans="1:16" x14ac:dyDescent="0.25">
      <c r="A52">
        <v>184376492</v>
      </c>
      <c r="B52" s="3">
        <v>45860.474140312501</v>
      </c>
      <c r="C52" s="7" t="s">
        <v>94</v>
      </c>
      <c r="D52" s="8">
        <v>78</v>
      </c>
      <c r="E52" s="8" t="str" cm="1">
        <f t="array" ref="E52">_xlfn.IFS(Data_Illuin[[#This Row],[Age]]&lt;40,"[0;40[",Data_Illuin[[#This Row],[Age]]&lt;50,"[40;50[",Data_Illuin[[#This Row],[Age]]&lt;60,"[50;60[",Data_Illuin[[#This Row],[Age]]&lt;70,"[60;70[",Data_Illuin[[#This Row],[Age]]&lt;80,"[70;80[",TRUE,"[80;+]")</f>
        <v>[70;80[</v>
      </c>
      <c r="F52" t="s">
        <v>13</v>
      </c>
      <c r="G52" t="s">
        <v>14</v>
      </c>
      <c r="H52" t="s">
        <v>21</v>
      </c>
      <c r="I52" s="4">
        <v>45859</v>
      </c>
      <c r="J52" s="3">
        <v>45859.10833333333</v>
      </c>
      <c r="K52" s="9">
        <f>TRUNC((J52-INT(Data_Illuin[[#This Row],[Date/heure contact]]))*24,0)</f>
        <v>2</v>
      </c>
      <c r="L52" s="9" t="b">
        <f>IF(AND(Data_Illuin[[#This Row],[Colonne1]]&gt;=8,Data_Illuin[[#This Row],[Colonne1]]&lt;=19),TRUE,FALSE)</f>
        <v>0</v>
      </c>
      <c r="M52" t="s">
        <v>95</v>
      </c>
      <c r="N52" t="s">
        <v>17</v>
      </c>
      <c r="O52" t="s">
        <v>18</v>
      </c>
      <c r="P52">
        <v>5</v>
      </c>
    </row>
    <row r="53" spans="1:16" x14ac:dyDescent="0.25">
      <c r="A53">
        <v>184376487</v>
      </c>
      <c r="B53" s="3">
        <v>45860.474140312501</v>
      </c>
      <c r="C53" s="7" t="s">
        <v>96</v>
      </c>
      <c r="D53" s="8">
        <v>41</v>
      </c>
      <c r="E53" s="8" t="str" cm="1">
        <f t="array" ref="E53">_xlfn.IFS(Data_Illuin[[#This Row],[Age]]&lt;40,"[0;40[",Data_Illuin[[#This Row],[Age]]&lt;50,"[40;50[",Data_Illuin[[#This Row],[Age]]&lt;60,"[50;60[",Data_Illuin[[#This Row],[Age]]&lt;70,"[60;70[",Data_Illuin[[#This Row],[Age]]&lt;80,"[70;80[",TRUE,"[80;+]")</f>
        <v>[40;50[</v>
      </c>
      <c r="F53" t="s">
        <v>13</v>
      </c>
      <c r="G53" t="s">
        <v>14</v>
      </c>
      <c r="H53" t="s">
        <v>21</v>
      </c>
      <c r="I53" s="4">
        <v>45859</v>
      </c>
      <c r="J53" s="3">
        <v>45859.12222222222</v>
      </c>
      <c r="K53" s="9">
        <f>TRUNC((J53-INT(Data_Illuin[[#This Row],[Date/heure contact]]))*24,0)</f>
        <v>2</v>
      </c>
      <c r="L53" s="9" t="b">
        <f>IF(AND(Data_Illuin[[#This Row],[Colonne1]]&gt;=8,Data_Illuin[[#This Row],[Colonne1]]&lt;=19),TRUE,FALSE)</f>
        <v>0</v>
      </c>
      <c r="M53" t="s">
        <v>97</v>
      </c>
      <c r="N53" t="s">
        <v>17</v>
      </c>
      <c r="O53" t="s">
        <v>18</v>
      </c>
      <c r="P53">
        <v>2</v>
      </c>
    </row>
    <row r="54" spans="1:16" x14ac:dyDescent="0.25">
      <c r="A54">
        <v>184376485</v>
      </c>
      <c r="B54" s="3">
        <v>45860.474140312501</v>
      </c>
      <c r="C54" s="7" t="s">
        <v>98</v>
      </c>
      <c r="D54" s="8">
        <v>62</v>
      </c>
      <c r="E54" s="8" t="str" cm="1">
        <f t="array" ref="E54">_xlfn.IFS(Data_Illuin[[#This Row],[Age]]&lt;40,"[0;40[",Data_Illuin[[#This Row],[Age]]&lt;50,"[40;50[",Data_Illuin[[#This Row],[Age]]&lt;60,"[50;60[",Data_Illuin[[#This Row],[Age]]&lt;70,"[60;70[",Data_Illuin[[#This Row],[Age]]&lt;80,"[70;80[",TRUE,"[80;+]")</f>
        <v>[60;70[</v>
      </c>
      <c r="F54" t="s">
        <v>20</v>
      </c>
      <c r="G54" t="s">
        <v>14</v>
      </c>
      <c r="H54" t="s">
        <v>21</v>
      </c>
      <c r="I54" s="4">
        <v>45859</v>
      </c>
      <c r="J54" s="3">
        <v>45859.127083333333</v>
      </c>
      <c r="K54" s="9">
        <f>TRUNC((J54-INT(Data_Illuin[[#This Row],[Date/heure contact]]))*24,0)</f>
        <v>3</v>
      </c>
      <c r="L54" s="9" t="b">
        <f>IF(AND(Data_Illuin[[#This Row],[Colonne1]]&gt;=8,Data_Illuin[[#This Row],[Colonne1]]&lt;=19),TRUE,FALSE)</f>
        <v>0</v>
      </c>
      <c r="M54" t="s">
        <v>99</v>
      </c>
      <c r="N54" t="s">
        <v>17</v>
      </c>
      <c r="O54" t="s">
        <v>18</v>
      </c>
      <c r="P54">
        <v>5</v>
      </c>
    </row>
    <row r="55" spans="1:16" x14ac:dyDescent="0.25">
      <c r="A55">
        <v>184376468</v>
      </c>
      <c r="B55" s="3">
        <v>45860.474140312501</v>
      </c>
      <c r="C55" s="7" t="s">
        <v>100</v>
      </c>
      <c r="D55" s="8">
        <v>48</v>
      </c>
      <c r="E55" s="8" t="str" cm="1">
        <f t="array" ref="E55">_xlfn.IFS(Data_Illuin[[#This Row],[Age]]&lt;40,"[0;40[",Data_Illuin[[#This Row],[Age]]&lt;50,"[40;50[",Data_Illuin[[#This Row],[Age]]&lt;60,"[50;60[",Data_Illuin[[#This Row],[Age]]&lt;70,"[60;70[",Data_Illuin[[#This Row],[Age]]&lt;80,"[70;80[",TRUE,"[80;+]")</f>
        <v>[40;50[</v>
      </c>
      <c r="F55" t="s">
        <v>20</v>
      </c>
      <c r="G55" t="s">
        <v>14</v>
      </c>
      <c r="H55" t="s">
        <v>21</v>
      </c>
      <c r="I55" s="4">
        <v>45859</v>
      </c>
      <c r="J55" s="3">
        <v>45859.177777777775</v>
      </c>
      <c r="K55" s="9">
        <f>TRUNC((J55-INT(Data_Illuin[[#This Row],[Date/heure contact]]))*24,0)</f>
        <v>4</v>
      </c>
      <c r="L55" s="9" t="b">
        <f>IF(AND(Data_Illuin[[#This Row],[Colonne1]]&gt;=8,Data_Illuin[[#This Row],[Colonne1]]&lt;=19),TRUE,FALSE)</f>
        <v>0</v>
      </c>
      <c r="M55" t="s">
        <v>101</v>
      </c>
      <c r="N55" t="s">
        <v>17</v>
      </c>
      <c r="O55" t="s">
        <v>18</v>
      </c>
      <c r="P55">
        <v>1</v>
      </c>
    </row>
    <row r="56" spans="1:16" x14ac:dyDescent="0.25">
      <c r="A56">
        <v>184376424</v>
      </c>
      <c r="B56" s="3">
        <v>45860.474140312501</v>
      </c>
      <c r="C56" s="7" t="s">
        <v>102</v>
      </c>
      <c r="D56" s="8">
        <v>66</v>
      </c>
      <c r="E56" s="8" t="str" cm="1">
        <f t="array" ref="E56">_xlfn.IFS(Data_Illuin[[#This Row],[Age]]&lt;40,"[0;40[",Data_Illuin[[#This Row],[Age]]&lt;50,"[40;50[",Data_Illuin[[#This Row],[Age]]&lt;60,"[50;60[",Data_Illuin[[#This Row],[Age]]&lt;70,"[60;70[",Data_Illuin[[#This Row],[Age]]&lt;80,"[70;80[",TRUE,"[80;+]")</f>
        <v>[60;70[</v>
      </c>
      <c r="F56" t="s">
        <v>20</v>
      </c>
      <c r="G56" t="s">
        <v>14</v>
      </c>
      <c r="H56" t="s">
        <v>21</v>
      </c>
      <c r="I56" s="4">
        <v>45859</v>
      </c>
      <c r="J56" s="3">
        <v>45859.338888888888</v>
      </c>
      <c r="K56" s="9">
        <f>TRUNC((J56-INT(Data_Illuin[[#This Row],[Date/heure contact]]))*24,0)</f>
        <v>8</v>
      </c>
      <c r="L56" s="9" t="b">
        <f>IF(AND(Data_Illuin[[#This Row],[Colonne1]]&gt;=8,Data_Illuin[[#This Row],[Colonne1]]&lt;=19),TRUE,FALSE)</f>
        <v>1</v>
      </c>
      <c r="M56" t="s">
        <v>103</v>
      </c>
      <c r="N56" t="s">
        <v>17</v>
      </c>
      <c r="O56" t="s">
        <v>18</v>
      </c>
      <c r="P56">
        <v>5</v>
      </c>
    </row>
    <row r="57" spans="1:16" x14ac:dyDescent="0.25">
      <c r="A57">
        <v>184376407</v>
      </c>
      <c r="B57" s="3">
        <v>45860.474140312501</v>
      </c>
      <c r="C57" s="7" t="s">
        <v>104</v>
      </c>
      <c r="D57" s="8">
        <v>76</v>
      </c>
      <c r="E57" s="8" t="str" cm="1">
        <f t="array" ref="E57">_xlfn.IFS(Data_Illuin[[#This Row],[Age]]&lt;40,"[0;40[",Data_Illuin[[#This Row],[Age]]&lt;50,"[40;50[",Data_Illuin[[#This Row],[Age]]&lt;60,"[50;60[",Data_Illuin[[#This Row],[Age]]&lt;70,"[60;70[",Data_Illuin[[#This Row],[Age]]&lt;80,"[70;80[",TRUE,"[80;+]")</f>
        <v>[70;80[</v>
      </c>
      <c r="F57" t="s">
        <v>20</v>
      </c>
      <c r="G57" t="s">
        <v>14</v>
      </c>
      <c r="H57" t="s">
        <v>21</v>
      </c>
      <c r="I57" s="4">
        <v>45859</v>
      </c>
      <c r="J57" s="3">
        <v>45859.395833333336</v>
      </c>
      <c r="K57" s="9">
        <f>TRUNC((J57-INT(Data_Illuin[[#This Row],[Date/heure contact]]))*24,0)</f>
        <v>9</v>
      </c>
      <c r="L57" s="9" t="b">
        <f>IF(AND(Data_Illuin[[#This Row],[Colonne1]]&gt;=8,Data_Illuin[[#This Row],[Colonne1]]&lt;=19),TRUE,FALSE)</f>
        <v>1</v>
      </c>
      <c r="M57" t="s">
        <v>105</v>
      </c>
      <c r="N57" t="s">
        <v>17</v>
      </c>
      <c r="O57" t="s">
        <v>18</v>
      </c>
      <c r="P57">
        <v>1</v>
      </c>
    </row>
    <row r="58" spans="1:16" x14ac:dyDescent="0.25">
      <c r="A58">
        <v>184376400</v>
      </c>
      <c r="B58" s="3">
        <v>45860.474140312501</v>
      </c>
      <c r="C58" s="7" t="s">
        <v>106</v>
      </c>
      <c r="D58" s="8">
        <v>36</v>
      </c>
      <c r="E58" s="8" t="str" cm="1">
        <f t="array" ref="E58">_xlfn.IFS(Data_Illuin[[#This Row],[Age]]&lt;40,"[0;40[",Data_Illuin[[#This Row],[Age]]&lt;50,"[40;50[",Data_Illuin[[#This Row],[Age]]&lt;60,"[50;60[",Data_Illuin[[#This Row],[Age]]&lt;70,"[60;70[",Data_Illuin[[#This Row],[Age]]&lt;80,"[70;80[",TRUE,"[80;+]")</f>
        <v>[0;40[</v>
      </c>
      <c r="F58" t="s">
        <v>20</v>
      </c>
      <c r="G58" t="s">
        <v>14</v>
      </c>
      <c r="H58" t="s">
        <v>21</v>
      </c>
      <c r="I58" s="4">
        <v>45859</v>
      </c>
      <c r="J58" s="3">
        <v>45859.42291666667</v>
      </c>
      <c r="K58" s="9">
        <f>TRUNC((J58-INT(Data_Illuin[[#This Row],[Date/heure contact]]))*24,0)</f>
        <v>10</v>
      </c>
      <c r="L58" s="9" t="b">
        <f>IF(AND(Data_Illuin[[#This Row],[Colonne1]]&gt;=8,Data_Illuin[[#This Row],[Colonne1]]&lt;=19),TRUE,FALSE)</f>
        <v>1</v>
      </c>
      <c r="M58" t="s">
        <v>107</v>
      </c>
      <c r="N58" t="s">
        <v>17</v>
      </c>
      <c r="O58" t="s">
        <v>18</v>
      </c>
      <c r="P58">
        <v>5</v>
      </c>
    </row>
    <row r="59" spans="1:16" x14ac:dyDescent="0.25">
      <c r="A59">
        <v>184376378</v>
      </c>
      <c r="B59" s="3">
        <v>45860.474140312501</v>
      </c>
      <c r="C59" s="7" t="s">
        <v>108</v>
      </c>
      <c r="D59" s="8">
        <v>47</v>
      </c>
      <c r="E59" s="8" t="str" cm="1">
        <f t="array" ref="E59">_xlfn.IFS(Data_Illuin[[#This Row],[Age]]&lt;40,"[0;40[",Data_Illuin[[#This Row],[Age]]&lt;50,"[40;50[",Data_Illuin[[#This Row],[Age]]&lt;60,"[50;60[",Data_Illuin[[#This Row],[Age]]&lt;70,"[60;70[",Data_Illuin[[#This Row],[Age]]&lt;80,"[70;80[",TRUE,"[80;+]")</f>
        <v>[40;50[</v>
      </c>
      <c r="F59" t="s">
        <v>13</v>
      </c>
      <c r="G59" t="s">
        <v>14</v>
      </c>
      <c r="H59" t="s">
        <v>21</v>
      </c>
      <c r="I59" s="4">
        <v>45859</v>
      </c>
      <c r="J59" s="3">
        <v>45859.567361111112</v>
      </c>
      <c r="K59" s="9">
        <f>TRUNC((J59-INT(Data_Illuin[[#This Row],[Date/heure contact]]))*24,0)</f>
        <v>13</v>
      </c>
      <c r="L59" s="9" t="b">
        <f>IF(AND(Data_Illuin[[#This Row],[Colonne1]]&gt;=8,Data_Illuin[[#This Row],[Colonne1]]&lt;=19),TRUE,FALSE)</f>
        <v>1</v>
      </c>
      <c r="M59" t="s">
        <v>109</v>
      </c>
      <c r="N59" t="s">
        <v>17</v>
      </c>
      <c r="O59" t="s">
        <v>40</v>
      </c>
      <c r="P59">
        <v>5</v>
      </c>
    </row>
    <row r="60" spans="1:16" x14ac:dyDescent="0.25">
      <c r="A60">
        <v>183888748</v>
      </c>
      <c r="B60" s="3">
        <v>45856.5166378125</v>
      </c>
      <c r="C60" s="7" t="s">
        <v>110</v>
      </c>
      <c r="D60" s="8">
        <v>67</v>
      </c>
      <c r="E60" s="8" t="str" cm="1">
        <f t="array" ref="E60">_xlfn.IFS(Data_Illuin[[#This Row],[Age]]&lt;40,"[0;40[",Data_Illuin[[#This Row],[Age]]&lt;50,"[40;50[",Data_Illuin[[#This Row],[Age]]&lt;60,"[50;60[",Data_Illuin[[#This Row],[Age]]&lt;70,"[60;70[",Data_Illuin[[#This Row],[Age]]&lt;80,"[70;80[",TRUE,"[80;+]")</f>
        <v>[60;70[</v>
      </c>
      <c r="F60" t="s">
        <v>13</v>
      </c>
      <c r="G60" t="s">
        <v>14</v>
      </c>
      <c r="H60" t="s">
        <v>21</v>
      </c>
      <c r="I60" s="4">
        <v>45855</v>
      </c>
      <c r="J60" s="3">
        <v>45854.952777777777</v>
      </c>
      <c r="K60" s="9">
        <f>TRUNC((J60-INT(Data_Illuin[[#This Row],[Date/heure contact]]))*24,0)</f>
        <v>22</v>
      </c>
      <c r="L60" s="9" t="b">
        <f>IF(AND(Data_Illuin[[#This Row],[Colonne1]]&gt;=8,Data_Illuin[[#This Row],[Colonne1]]&lt;=19),TRUE,FALSE)</f>
        <v>0</v>
      </c>
      <c r="M60" t="s">
        <v>111</v>
      </c>
      <c r="N60" t="s">
        <v>17</v>
      </c>
      <c r="O60" t="s">
        <v>18</v>
      </c>
      <c r="P60">
        <v>5</v>
      </c>
    </row>
    <row r="61" spans="1:16" x14ac:dyDescent="0.25">
      <c r="A61">
        <v>183888746</v>
      </c>
      <c r="B61" s="3">
        <v>45856.5166378125</v>
      </c>
      <c r="C61" s="7" t="s">
        <v>112</v>
      </c>
      <c r="D61" s="8">
        <v>70</v>
      </c>
      <c r="E61" s="8" t="str" cm="1">
        <f t="array" ref="E61">_xlfn.IFS(Data_Illuin[[#This Row],[Age]]&lt;40,"[0;40[",Data_Illuin[[#This Row],[Age]]&lt;50,"[40;50[",Data_Illuin[[#This Row],[Age]]&lt;60,"[50;60[",Data_Illuin[[#This Row],[Age]]&lt;70,"[60;70[",Data_Illuin[[#This Row],[Age]]&lt;80,"[70;80[",TRUE,"[80;+]")</f>
        <v>[70;80[</v>
      </c>
      <c r="F61" t="s">
        <v>13</v>
      </c>
      <c r="G61" t="s">
        <v>14</v>
      </c>
      <c r="H61" t="s">
        <v>21</v>
      </c>
      <c r="I61" s="4">
        <v>45855</v>
      </c>
      <c r="J61" s="3">
        <v>45854.960416666669</v>
      </c>
      <c r="K61" s="9">
        <f>TRUNC((J61-INT(Data_Illuin[[#This Row],[Date/heure contact]]))*24,0)</f>
        <v>23</v>
      </c>
      <c r="L61" s="9" t="b">
        <f>IF(AND(Data_Illuin[[#This Row],[Colonne1]]&gt;=8,Data_Illuin[[#This Row],[Colonne1]]&lt;=19),TRUE,FALSE)</f>
        <v>0</v>
      </c>
      <c r="M61" t="s">
        <v>113</v>
      </c>
      <c r="N61" t="s">
        <v>17</v>
      </c>
      <c r="O61" t="s">
        <v>18</v>
      </c>
      <c r="P61">
        <v>4</v>
      </c>
    </row>
    <row r="62" spans="1:16" x14ac:dyDescent="0.25">
      <c r="A62">
        <v>183888680</v>
      </c>
      <c r="B62" s="3">
        <v>45856.5166378125</v>
      </c>
      <c r="C62" s="7" t="s">
        <v>114</v>
      </c>
      <c r="D62" s="8">
        <v>64</v>
      </c>
      <c r="E62" s="8" t="str" cm="1">
        <f t="array" ref="E62">_xlfn.IFS(Data_Illuin[[#This Row],[Age]]&lt;40,"[0;40[",Data_Illuin[[#This Row],[Age]]&lt;50,"[40;50[",Data_Illuin[[#This Row],[Age]]&lt;60,"[50;60[",Data_Illuin[[#This Row],[Age]]&lt;70,"[60;70[",Data_Illuin[[#This Row],[Age]]&lt;80,"[70;80[",TRUE,"[80;+]")</f>
        <v>[60;70[</v>
      </c>
      <c r="F62" t="s">
        <v>13</v>
      </c>
      <c r="G62" t="s">
        <v>14</v>
      </c>
      <c r="H62" t="s">
        <v>21</v>
      </c>
      <c r="I62" s="4">
        <v>45855</v>
      </c>
      <c r="J62" s="3">
        <v>45855.178472222222</v>
      </c>
      <c r="K62" s="9">
        <f>TRUNC((J62-INT(Data_Illuin[[#This Row],[Date/heure contact]]))*24,0)</f>
        <v>4</v>
      </c>
      <c r="L62" s="9" t="b">
        <f>IF(AND(Data_Illuin[[#This Row],[Colonne1]]&gt;=8,Data_Illuin[[#This Row],[Colonne1]]&lt;=19),TRUE,FALSE)</f>
        <v>0</v>
      </c>
      <c r="M62" t="s">
        <v>115</v>
      </c>
      <c r="N62" t="s">
        <v>17</v>
      </c>
      <c r="O62" t="s">
        <v>18</v>
      </c>
      <c r="P62">
        <v>4</v>
      </c>
    </row>
    <row r="63" spans="1:16" x14ac:dyDescent="0.25">
      <c r="A63">
        <v>183888652</v>
      </c>
      <c r="B63" s="3">
        <v>45856.5166378125</v>
      </c>
      <c r="C63" s="7" t="s">
        <v>116</v>
      </c>
      <c r="D63" s="8">
        <v>62</v>
      </c>
      <c r="E63" s="8" t="str" cm="1">
        <f t="array" ref="E63">_xlfn.IFS(Data_Illuin[[#This Row],[Age]]&lt;40,"[0;40[",Data_Illuin[[#This Row],[Age]]&lt;50,"[40;50[",Data_Illuin[[#This Row],[Age]]&lt;60,"[50;60[",Data_Illuin[[#This Row],[Age]]&lt;70,"[60;70[",Data_Illuin[[#This Row],[Age]]&lt;80,"[70;80[",TRUE,"[80;+]")</f>
        <v>[60;70[</v>
      </c>
      <c r="F63" t="s">
        <v>20</v>
      </c>
      <c r="G63" t="s">
        <v>14</v>
      </c>
      <c r="H63" t="s">
        <v>21</v>
      </c>
      <c r="I63" s="4">
        <v>45855</v>
      </c>
      <c r="J63" s="3">
        <v>45855.338194444441</v>
      </c>
      <c r="K63" s="9">
        <f>TRUNC((J63-INT(Data_Illuin[[#This Row],[Date/heure contact]]))*24,0)</f>
        <v>8</v>
      </c>
      <c r="L63" s="9" t="b">
        <f>IF(AND(Data_Illuin[[#This Row],[Colonne1]]&gt;=8,Data_Illuin[[#This Row],[Colonne1]]&lt;=19),TRUE,FALSE)</f>
        <v>1</v>
      </c>
      <c r="N63" t="s">
        <v>17</v>
      </c>
      <c r="O63" t="s">
        <v>18</v>
      </c>
      <c r="P63">
        <v>5</v>
      </c>
    </row>
    <row r="64" spans="1:16" x14ac:dyDescent="0.25">
      <c r="A64">
        <v>183888650</v>
      </c>
      <c r="B64" s="3">
        <v>45856.5166378125</v>
      </c>
      <c r="C64" s="7" t="s">
        <v>117</v>
      </c>
      <c r="D64" s="8">
        <v>73</v>
      </c>
      <c r="E64" s="8" t="str" cm="1">
        <f t="array" ref="E64">_xlfn.IFS(Data_Illuin[[#This Row],[Age]]&lt;40,"[0;40[",Data_Illuin[[#This Row],[Age]]&lt;50,"[40;50[",Data_Illuin[[#This Row],[Age]]&lt;60,"[50;60[",Data_Illuin[[#This Row],[Age]]&lt;70,"[60;70[",Data_Illuin[[#This Row],[Age]]&lt;80,"[70;80[",TRUE,"[80;+]")</f>
        <v>[70;80[</v>
      </c>
      <c r="F64" t="s">
        <v>20</v>
      </c>
      <c r="G64" t="s">
        <v>14</v>
      </c>
      <c r="H64" t="s">
        <v>21</v>
      </c>
      <c r="I64" s="4">
        <v>45855</v>
      </c>
      <c r="J64" s="3">
        <v>45855.352083333331</v>
      </c>
      <c r="K64" s="9">
        <f>TRUNC((J64-INT(Data_Illuin[[#This Row],[Date/heure contact]]))*24,0)</f>
        <v>8</v>
      </c>
      <c r="L64" s="9" t="b">
        <f>IF(AND(Data_Illuin[[#This Row],[Colonne1]]&gt;=8,Data_Illuin[[#This Row],[Colonne1]]&lt;=19),TRUE,FALSE)</f>
        <v>1</v>
      </c>
      <c r="N64" t="s">
        <v>17</v>
      </c>
      <c r="O64" t="s">
        <v>18</v>
      </c>
      <c r="P64">
        <v>2</v>
      </c>
    </row>
    <row r="65" spans="1:16" x14ac:dyDescent="0.25">
      <c r="A65">
        <v>183888647</v>
      </c>
      <c r="B65" s="3">
        <v>45856.5166378125</v>
      </c>
      <c r="C65" s="7" t="s">
        <v>118</v>
      </c>
      <c r="D65" s="8">
        <v>40</v>
      </c>
      <c r="E65" s="8" t="str" cm="1">
        <f t="array" ref="E65">_xlfn.IFS(Data_Illuin[[#This Row],[Age]]&lt;40,"[0;40[",Data_Illuin[[#This Row],[Age]]&lt;50,"[40;50[",Data_Illuin[[#This Row],[Age]]&lt;60,"[50;60[",Data_Illuin[[#This Row],[Age]]&lt;70,"[60;70[",Data_Illuin[[#This Row],[Age]]&lt;80,"[70;80[",TRUE,"[80;+]")</f>
        <v>[40;50[</v>
      </c>
      <c r="F65" t="s">
        <v>20</v>
      </c>
      <c r="G65" t="s">
        <v>14</v>
      </c>
      <c r="H65" t="s">
        <v>21</v>
      </c>
      <c r="I65" s="4">
        <v>45855</v>
      </c>
      <c r="J65" s="3">
        <v>45855.364583333336</v>
      </c>
      <c r="K65" s="9">
        <f>TRUNC((J65-INT(Data_Illuin[[#This Row],[Date/heure contact]]))*24,0)</f>
        <v>8</v>
      </c>
      <c r="L65" s="9" t="b">
        <f>IF(AND(Data_Illuin[[#This Row],[Colonne1]]&gt;=8,Data_Illuin[[#This Row],[Colonne1]]&lt;=19),TRUE,FALSE)</f>
        <v>1</v>
      </c>
      <c r="N65" t="s">
        <v>17</v>
      </c>
      <c r="O65" t="s">
        <v>18</v>
      </c>
      <c r="P65">
        <v>1</v>
      </c>
    </row>
    <row r="66" spans="1:16" x14ac:dyDescent="0.25">
      <c r="A66">
        <v>183888633</v>
      </c>
      <c r="B66" s="3">
        <v>45856.5166378125</v>
      </c>
      <c r="C66" s="7" t="s">
        <v>119</v>
      </c>
      <c r="D66" s="8">
        <v>61</v>
      </c>
      <c r="E66" s="8" t="str" cm="1">
        <f t="array" ref="E66">_xlfn.IFS(Data_Illuin[[#This Row],[Age]]&lt;40,"[0;40[",Data_Illuin[[#This Row],[Age]]&lt;50,"[40;50[",Data_Illuin[[#This Row],[Age]]&lt;60,"[50;60[",Data_Illuin[[#This Row],[Age]]&lt;70,"[60;70[",Data_Illuin[[#This Row],[Age]]&lt;80,"[70;80[",TRUE,"[80;+]")</f>
        <v>[60;70[</v>
      </c>
      <c r="F66" t="s">
        <v>20</v>
      </c>
      <c r="G66" t="s">
        <v>14</v>
      </c>
      <c r="H66" t="s">
        <v>21</v>
      </c>
      <c r="I66" s="4">
        <v>45855</v>
      </c>
      <c r="J66" s="3">
        <v>45855.446527777778</v>
      </c>
      <c r="K66" s="9">
        <f>TRUNC((J66-INT(Data_Illuin[[#This Row],[Date/heure contact]]))*24,0)</f>
        <v>10</v>
      </c>
      <c r="L66" s="9" t="b">
        <f>IF(AND(Data_Illuin[[#This Row],[Colonne1]]&gt;=8,Data_Illuin[[#This Row],[Colonne1]]&lt;=19),TRUE,FALSE)</f>
        <v>1</v>
      </c>
      <c r="N66" t="s">
        <v>17</v>
      </c>
      <c r="O66" t="s">
        <v>18</v>
      </c>
      <c r="P66">
        <v>5</v>
      </c>
    </row>
    <row r="67" spans="1:16" x14ac:dyDescent="0.25">
      <c r="A67">
        <v>183888631</v>
      </c>
      <c r="B67" s="3">
        <v>45856.5166378125</v>
      </c>
      <c r="C67" s="7" t="s">
        <v>120</v>
      </c>
      <c r="D67" s="8">
        <v>41</v>
      </c>
      <c r="E67" s="8" t="str" cm="1">
        <f t="array" ref="E67">_xlfn.IFS(Data_Illuin[[#This Row],[Age]]&lt;40,"[0;40[",Data_Illuin[[#This Row],[Age]]&lt;50,"[40;50[",Data_Illuin[[#This Row],[Age]]&lt;60,"[50;60[",Data_Illuin[[#This Row],[Age]]&lt;70,"[60;70[",Data_Illuin[[#This Row],[Age]]&lt;80,"[70;80[",TRUE,"[80;+]")</f>
        <v>[40;50[</v>
      </c>
      <c r="F67" t="s">
        <v>20</v>
      </c>
      <c r="G67" t="s">
        <v>14</v>
      </c>
      <c r="H67" t="s">
        <v>21</v>
      </c>
      <c r="I67" s="4">
        <v>45855</v>
      </c>
      <c r="J67" s="3">
        <v>45855.447916666664</v>
      </c>
      <c r="K67" s="9">
        <f>TRUNC((J67-INT(Data_Illuin[[#This Row],[Date/heure contact]]))*24,0)</f>
        <v>10</v>
      </c>
      <c r="L67" s="9" t="b">
        <f>IF(AND(Data_Illuin[[#This Row],[Colonne1]]&gt;=8,Data_Illuin[[#This Row],[Colonne1]]&lt;=19),TRUE,FALSE)</f>
        <v>1</v>
      </c>
      <c r="N67" t="s">
        <v>17</v>
      </c>
      <c r="O67" t="s">
        <v>18</v>
      </c>
      <c r="P67">
        <v>1</v>
      </c>
    </row>
    <row r="68" spans="1:16" x14ac:dyDescent="0.25">
      <c r="A68">
        <v>183888628</v>
      </c>
      <c r="B68" s="3">
        <v>45856.5166378125</v>
      </c>
      <c r="C68" s="7" t="s">
        <v>121</v>
      </c>
      <c r="D68" s="8">
        <v>62</v>
      </c>
      <c r="E68" s="8" t="str" cm="1">
        <f t="array" ref="E68">_xlfn.IFS(Data_Illuin[[#This Row],[Age]]&lt;40,"[0;40[",Data_Illuin[[#This Row],[Age]]&lt;50,"[40;50[",Data_Illuin[[#This Row],[Age]]&lt;60,"[50;60[",Data_Illuin[[#This Row],[Age]]&lt;70,"[60;70[",Data_Illuin[[#This Row],[Age]]&lt;80,"[70;80[",TRUE,"[80;+]")</f>
        <v>[60;70[</v>
      </c>
      <c r="F68" t="s">
        <v>13</v>
      </c>
      <c r="G68" t="s">
        <v>14</v>
      </c>
      <c r="H68" t="s">
        <v>21</v>
      </c>
      <c r="I68" s="4">
        <v>45855</v>
      </c>
      <c r="J68" s="3">
        <v>45855.466666666667</v>
      </c>
      <c r="K68" s="9">
        <f>TRUNC((J68-INT(Data_Illuin[[#This Row],[Date/heure contact]]))*24,0)</f>
        <v>11</v>
      </c>
      <c r="L68" s="9" t="b">
        <f>IF(AND(Data_Illuin[[#This Row],[Colonne1]]&gt;=8,Data_Illuin[[#This Row],[Colonne1]]&lt;=19),TRUE,FALSE)</f>
        <v>1</v>
      </c>
      <c r="N68" t="s">
        <v>17</v>
      </c>
      <c r="O68" t="s">
        <v>18</v>
      </c>
      <c r="P68">
        <v>1</v>
      </c>
    </row>
    <row r="69" spans="1:16" x14ac:dyDescent="0.25">
      <c r="A69">
        <v>183888627</v>
      </c>
      <c r="B69" s="3">
        <v>45856.5166378125</v>
      </c>
      <c r="C69" s="7" t="s">
        <v>122</v>
      </c>
      <c r="D69" s="8">
        <v>43</v>
      </c>
      <c r="E69" s="8" t="str" cm="1">
        <f t="array" ref="E69">_xlfn.IFS(Data_Illuin[[#This Row],[Age]]&lt;40,"[0;40[",Data_Illuin[[#This Row],[Age]]&lt;50,"[40;50[",Data_Illuin[[#This Row],[Age]]&lt;60,"[50;60[",Data_Illuin[[#This Row],[Age]]&lt;70,"[60;70[",Data_Illuin[[#This Row],[Age]]&lt;80,"[70;80[",TRUE,"[80;+]")</f>
        <v>[40;50[</v>
      </c>
      <c r="F69" t="s">
        <v>20</v>
      </c>
      <c r="G69" t="s">
        <v>14</v>
      </c>
      <c r="H69" t="s">
        <v>21</v>
      </c>
      <c r="I69" s="4">
        <v>45855</v>
      </c>
      <c r="J69" s="3">
        <v>45855.472222222219</v>
      </c>
      <c r="K69" s="9">
        <f>TRUNC((J69-INT(Data_Illuin[[#This Row],[Date/heure contact]]))*24,0)</f>
        <v>11</v>
      </c>
      <c r="L69" s="9" t="b">
        <f>IF(AND(Data_Illuin[[#This Row],[Colonne1]]&gt;=8,Data_Illuin[[#This Row],[Colonne1]]&lt;=19),TRUE,FALSE)</f>
        <v>1</v>
      </c>
      <c r="N69" t="s">
        <v>17</v>
      </c>
      <c r="O69" t="s">
        <v>18</v>
      </c>
      <c r="P69">
        <v>1</v>
      </c>
    </row>
    <row r="70" spans="1:16" x14ac:dyDescent="0.25">
      <c r="A70">
        <v>183498568</v>
      </c>
      <c r="B70" s="3">
        <v>45854.61431597222</v>
      </c>
      <c r="C70" s="7" t="s">
        <v>123</v>
      </c>
      <c r="D70" s="8">
        <v>49</v>
      </c>
      <c r="E70" s="8" t="str" cm="1">
        <f t="array" ref="E70">_xlfn.IFS(Data_Illuin[[#This Row],[Age]]&lt;40,"[0;40[",Data_Illuin[[#This Row],[Age]]&lt;50,"[40;50[",Data_Illuin[[#This Row],[Age]]&lt;60,"[50;60[",Data_Illuin[[#This Row],[Age]]&lt;70,"[60;70[",Data_Illuin[[#This Row],[Age]]&lt;80,"[70;80[",TRUE,"[80;+]")</f>
        <v>[40;50[</v>
      </c>
      <c r="F70" t="s">
        <v>13</v>
      </c>
      <c r="G70" t="s">
        <v>14</v>
      </c>
      <c r="H70" t="s">
        <v>21</v>
      </c>
      <c r="I70" s="4">
        <v>45847</v>
      </c>
      <c r="J70" s="3">
        <v>45847.009722222225</v>
      </c>
      <c r="K70" s="9">
        <f>TRUNC((J70-INT(Data_Illuin[[#This Row],[Date/heure contact]]))*24,0)</f>
        <v>0</v>
      </c>
      <c r="L70" s="9" t="b">
        <f>IF(AND(Data_Illuin[[#This Row],[Colonne1]]&gt;=8,Data_Illuin[[#This Row],[Colonne1]]&lt;=19),TRUE,FALSE)</f>
        <v>0</v>
      </c>
      <c r="N70" t="s">
        <v>17</v>
      </c>
      <c r="O70" t="s">
        <v>18</v>
      </c>
      <c r="P70">
        <v>4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59934039-ae21-42ab-8848-d62b6328cef8}" enabled="1" method="Privileged" siteId="{61ed2b68-f880-49d7-bbc9-9a645e9dcf7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Analyse</vt:lpstr>
      <vt:lpstr>TCD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Paulignan Matthieu</cp:lastModifiedBy>
  <dcterms:created xsi:type="dcterms:W3CDTF">2025-07-30T12:02:31Z</dcterms:created>
  <dcterms:modified xsi:type="dcterms:W3CDTF">2025-08-01T08:53:03Z</dcterms:modified>
</cp:coreProperties>
</file>