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E159D90E-4DE4-42C1-B422-7A20A153D4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ydro Dams" sheetId="1" r:id="rId1"/>
    <sheet name="Al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56" i="1"/>
  <c r="N128" i="1"/>
  <c r="N140" i="1"/>
  <c r="H6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V203" i="1"/>
  <c r="V212" i="1"/>
  <c r="S218" i="1"/>
  <c r="T218" i="1"/>
  <c r="T217" i="1"/>
  <c r="S217" i="1"/>
  <c r="V217" i="1" s="1"/>
  <c r="S208" i="1"/>
  <c r="V208" i="1" s="1"/>
  <c r="T208" i="1"/>
  <c r="S209" i="1"/>
  <c r="T209" i="1"/>
  <c r="S210" i="1"/>
  <c r="T210" i="1"/>
  <c r="S211" i="1"/>
  <c r="T211" i="1"/>
  <c r="S212" i="1"/>
  <c r="T212" i="1"/>
  <c r="S213" i="1"/>
  <c r="T213" i="1"/>
  <c r="S214" i="1"/>
  <c r="V214" i="1" s="1"/>
  <c r="T214" i="1"/>
  <c r="S215" i="1"/>
  <c r="T215" i="1"/>
  <c r="S216" i="1"/>
  <c r="T216" i="1"/>
  <c r="V216" i="1" s="1"/>
  <c r="T207" i="1"/>
  <c r="S207" i="1"/>
  <c r="V207" i="1" s="1"/>
  <c r="S201" i="1"/>
  <c r="V201" i="1" s="1"/>
  <c r="T201" i="1"/>
  <c r="S202" i="1"/>
  <c r="T202" i="1"/>
  <c r="S203" i="1"/>
  <c r="T203" i="1"/>
  <c r="S204" i="1"/>
  <c r="T204" i="1"/>
  <c r="S205" i="1"/>
  <c r="T205" i="1"/>
  <c r="S206" i="1"/>
  <c r="T206" i="1"/>
  <c r="T200" i="1"/>
  <c r="S200" i="1"/>
  <c r="V200" i="1" s="1"/>
  <c r="S186" i="1"/>
  <c r="T186" i="1"/>
  <c r="S187" i="1"/>
  <c r="V187" i="1" s="1"/>
  <c r="T187" i="1"/>
  <c r="S188" i="1"/>
  <c r="T188" i="1"/>
  <c r="S189" i="1"/>
  <c r="T189" i="1"/>
  <c r="S190" i="1"/>
  <c r="T190" i="1"/>
  <c r="S191" i="1"/>
  <c r="V191" i="1" s="1"/>
  <c r="T191" i="1"/>
  <c r="S192" i="1"/>
  <c r="T192" i="1"/>
  <c r="S193" i="1"/>
  <c r="V193" i="1" s="1"/>
  <c r="T193" i="1"/>
  <c r="S194" i="1"/>
  <c r="T194" i="1"/>
  <c r="S195" i="1"/>
  <c r="T195" i="1"/>
  <c r="S196" i="1"/>
  <c r="T196" i="1"/>
  <c r="S197" i="1"/>
  <c r="V197" i="1" s="1"/>
  <c r="T197" i="1"/>
  <c r="S198" i="1"/>
  <c r="T198" i="1"/>
  <c r="S199" i="1"/>
  <c r="V199" i="1" s="1"/>
  <c r="T199" i="1"/>
  <c r="T185" i="1"/>
  <c r="S185" i="1"/>
  <c r="S180" i="1"/>
  <c r="T180" i="1"/>
  <c r="S181" i="1"/>
  <c r="T181" i="1"/>
  <c r="S182" i="1"/>
  <c r="V182" i="1" s="1"/>
  <c r="T182" i="1"/>
  <c r="S183" i="1"/>
  <c r="T183" i="1"/>
  <c r="S184" i="1"/>
  <c r="V184" i="1" s="1"/>
  <c r="T184" i="1"/>
  <c r="T179" i="1"/>
  <c r="S179" i="1"/>
  <c r="T178" i="1"/>
  <c r="S178" i="1"/>
  <c r="V178" i="1" s="1"/>
  <c r="S174" i="1"/>
  <c r="T174" i="1"/>
  <c r="S175" i="1"/>
  <c r="V175" i="1" s="1"/>
  <c r="T175" i="1"/>
  <c r="S176" i="1"/>
  <c r="V176" i="1" s="1"/>
  <c r="T176" i="1"/>
  <c r="S177" i="1"/>
  <c r="V177" i="1" s="1"/>
  <c r="T177" i="1"/>
  <c r="T173" i="1"/>
  <c r="S173" i="1"/>
  <c r="S168" i="1"/>
  <c r="T168" i="1"/>
  <c r="S169" i="1"/>
  <c r="T169" i="1"/>
  <c r="S170" i="1"/>
  <c r="V170" i="1" s="1"/>
  <c r="T170" i="1"/>
  <c r="S171" i="1"/>
  <c r="T171" i="1"/>
  <c r="S172" i="1"/>
  <c r="V172" i="1" s="1"/>
  <c r="T172" i="1"/>
  <c r="T167" i="1"/>
  <c r="S167" i="1"/>
  <c r="T166" i="1"/>
  <c r="S166" i="1"/>
  <c r="V166" i="1" s="1"/>
  <c r="S155" i="1"/>
  <c r="T155" i="1"/>
  <c r="S156" i="1"/>
  <c r="V156" i="1" s="1"/>
  <c r="T156" i="1"/>
  <c r="S157" i="1"/>
  <c r="V157" i="1" s="1"/>
  <c r="T157" i="1"/>
  <c r="S158" i="1"/>
  <c r="V158" i="1" s="1"/>
  <c r="T158" i="1"/>
  <c r="S159" i="1"/>
  <c r="T159" i="1"/>
  <c r="S160" i="1"/>
  <c r="T160" i="1"/>
  <c r="S161" i="1"/>
  <c r="T161" i="1"/>
  <c r="S162" i="1"/>
  <c r="V162" i="1" s="1"/>
  <c r="T162" i="1"/>
  <c r="S163" i="1"/>
  <c r="T163" i="1"/>
  <c r="S164" i="1"/>
  <c r="V164" i="1" s="1"/>
  <c r="T164" i="1"/>
  <c r="S165" i="1"/>
  <c r="T165" i="1"/>
  <c r="T154" i="1"/>
  <c r="S154" i="1"/>
  <c r="V154" i="1" s="1"/>
  <c r="S151" i="1"/>
  <c r="T151" i="1"/>
  <c r="S152" i="1"/>
  <c r="V152" i="1" s="1"/>
  <c r="T152" i="1"/>
  <c r="S153" i="1"/>
  <c r="V153" i="1" s="1"/>
  <c r="T153" i="1"/>
  <c r="T150" i="1"/>
  <c r="S150" i="1"/>
  <c r="T149" i="1"/>
  <c r="S149" i="1"/>
  <c r="S144" i="1"/>
  <c r="T144" i="1"/>
  <c r="S145" i="1"/>
  <c r="T145" i="1"/>
  <c r="S146" i="1"/>
  <c r="V146" i="1" s="1"/>
  <c r="T146" i="1"/>
  <c r="S147" i="1"/>
  <c r="V147" i="1" s="1"/>
  <c r="T147" i="1"/>
  <c r="S148" i="1"/>
  <c r="V148" i="1" s="1"/>
  <c r="T148" i="1"/>
  <c r="T143" i="1"/>
  <c r="S143" i="1"/>
  <c r="S138" i="1"/>
  <c r="T138" i="1"/>
  <c r="S139" i="1"/>
  <c r="T139" i="1"/>
  <c r="S140" i="1"/>
  <c r="V140" i="1" s="1"/>
  <c r="T140" i="1"/>
  <c r="S141" i="1"/>
  <c r="V141" i="1" s="1"/>
  <c r="T141" i="1"/>
  <c r="S142" i="1"/>
  <c r="V142" i="1" s="1"/>
  <c r="T142" i="1"/>
  <c r="T137" i="1"/>
  <c r="S137" i="1"/>
  <c r="T136" i="1"/>
  <c r="S136" i="1"/>
  <c r="V136" i="1" s="1"/>
  <c r="S131" i="1"/>
  <c r="T131" i="1"/>
  <c r="S132" i="1"/>
  <c r="V132" i="1" s="1"/>
  <c r="T132" i="1"/>
  <c r="S133" i="1"/>
  <c r="V133" i="1" s="1"/>
  <c r="T133" i="1"/>
  <c r="S134" i="1"/>
  <c r="V134" i="1" s="1"/>
  <c r="T134" i="1"/>
  <c r="S135" i="1"/>
  <c r="T135" i="1"/>
  <c r="T130" i="1"/>
  <c r="S130" i="1"/>
  <c r="V130" i="1" s="1"/>
  <c r="S111" i="1"/>
  <c r="T111" i="1"/>
  <c r="S112" i="1"/>
  <c r="V112" i="1" s="1"/>
  <c r="T112" i="1"/>
  <c r="S113" i="1"/>
  <c r="V113" i="1" s="1"/>
  <c r="T113" i="1"/>
  <c r="S114" i="1"/>
  <c r="V114" i="1" s="1"/>
  <c r="T114" i="1"/>
  <c r="S115" i="1"/>
  <c r="T115" i="1"/>
  <c r="S116" i="1"/>
  <c r="T116" i="1"/>
  <c r="S117" i="1"/>
  <c r="T117" i="1"/>
  <c r="S118" i="1"/>
  <c r="V118" i="1" s="1"/>
  <c r="T118" i="1"/>
  <c r="S119" i="1"/>
  <c r="V119" i="1" s="1"/>
  <c r="T119" i="1"/>
  <c r="S120" i="1"/>
  <c r="V120" i="1" s="1"/>
  <c r="T120" i="1"/>
  <c r="S121" i="1"/>
  <c r="T121" i="1"/>
  <c r="S122" i="1"/>
  <c r="T122" i="1"/>
  <c r="S123" i="1"/>
  <c r="T123" i="1"/>
  <c r="S124" i="1"/>
  <c r="V124" i="1" s="1"/>
  <c r="T124" i="1"/>
  <c r="S125" i="1"/>
  <c r="V125" i="1" s="1"/>
  <c r="T125" i="1"/>
  <c r="S126" i="1"/>
  <c r="V126" i="1" s="1"/>
  <c r="T126" i="1"/>
  <c r="S127" i="1"/>
  <c r="T127" i="1"/>
  <c r="S128" i="1"/>
  <c r="T128" i="1"/>
  <c r="S129" i="1"/>
  <c r="T129" i="1"/>
  <c r="T110" i="1"/>
  <c r="S110" i="1"/>
  <c r="T109" i="1"/>
  <c r="S109" i="1"/>
  <c r="S105" i="1"/>
  <c r="V105" i="1" s="1"/>
  <c r="T105" i="1"/>
  <c r="S106" i="1"/>
  <c r="T106" i="1"/>
  <c r="S107" i="1"/>
  <c r="T107" i="1"/>
  <c r="S108" i="1"/>
  <c r="T108" i="1"/>
  <c r="T104" i="1"/>
  <c r="S104" i="1"/>
  <c r="S101" i="1"/>
  <c r="V101" i="1" s="1"/>
  <c r="T101" i="1"/>
  <c r="S102" i="1"/>
  <c r="V102" i="1" s="1"/>
  <c r="T102" i="1"/>
  <c r="S103" i="1"/>
  <c r="T103" i="1"/>
  <c r="T100" i="1"/>
  <c r="S100" i="1"/>
  <c r="V100" i="1" s="1"/>
  <c r="S99" i="1"/>
  <c r="T99" i="1"/>
  <c r="T98" i="1"/>
  <c r="S98" i="1"/>
  <c r="T97" i="1"/>
  <c r="S97" i="1"/>
  <c r="S86" i="1"/>
  <c r="V86" i="1" s="1"/>
  <c r="T86" i="1"/>
  <c r="S87" i="1"/>
  <c r="T87" i="1"/>
  <c r="S88" i="1"/>
  <c r="T88" i="1"/>
  <c r="S89" i="1"/>
  <c r="T89" i="1"/>
  <c r="S90" i="1"/>
  <c r="V90" i="1" s="1"/>
  <c r="T90" i="1"/>
  <c r="S91" i="1"/>
  <c r="V91" i="1" s="1"/>
  <c r="T91" i="1"/>
  <c r="S92" i="1"/>
  <c r="V92" i="1" s="1"/>
  <c r="T92" i="1"/>
  <c r="S93" i="1"/>
  <c r="T93" i="1"/>
  <c r="S94" i="1"/>
  <c r="T94" i="1"/>
  <c r="S95" i="1"/>
  <c r="T95" i="1"/>
  <c r="S96" i="1"/>
  <c r="V96" i="1" s="1"/>
  <c r="T96" i="1"/>
  <c r="T85" i="1"/>
  <c r="S85" i="1"/>
  <c r="V85" i="1" s="1"/>
  <c r="S79" i="1"/>
  <c r="V79" i="1" s="1"/>
  <c r="T79" i="1"/>
  <c r="S80" i="1"/>
  <c r="T80" i="1"/>
  <c r="S81" i="1"/>
  <c r="T81" i="1"/>
  <c r="S82" i="1"/>
  <c r="T82" i="1"/>
  <c r="S83" i="1"/>
  <c r="V83" i="1" s="1"/>
  <c r="T83" i="1"/>
  <c r="S84" i="1"/>
  <c r="V84" i="1" s="1"/>
  <c r="T84" i="1"/>
  <c r="T78" i="1"/>
  <c r="S78" i="1"/>
  <c r="S76" i="1"/>
  <c r="T76" i="1"/>
  <c r="S77" i="1"/>
  <c r="T77" i="1"/>
  <c r="T75" i="1"/>
  <c r="S75" i="1"/>
  <c r="V75" i="1" s="1"/>
  <c r="S71" i="1"/>
  <c r="V71" i="1" s="1"/>
  <c r="T71" i="1"/>
  <c r="S72" i="1"/>
  <c r="V72" i="1" s="1"/>
  <c r="T72" i="1"/>
  <c r="S73" i="1"/>
  <c r="V73" i="1" s="1"/>
  <c r="T73" i="1"/>
  <c r="S74" i="1"/>
  <c r="T74" i="1"/>
  <c r="T70" i="1"/>
  <c r="S70" i="1"/>
  <c r="V70" i="1" s="1"/>
  <c r="S59" i="1"/>
  <c r="T59" i="1"/>
  <c r="S60" i="1"/>
  <c r="V60" i="1" s="1"/>
  <c r="T60" i="1"/>
  <c r="S61" i="1"/>
  <c r="V61" i="1" s="1"/>
  <c r="T61" i="1"/>
  <c r="S62" i="1"/>
  <c r="V62" i="1" s="1"/>
  <c r="T62" i="1"/>
  <c r="S63" i="1"/>
  <c r="T63" i="1"/>
  <c r="S64" i="1"/>
  <c r="T64" i="1"/>
  <c r="S65" i="1"/>
  <c r="T65" i="1"/>
  <c r="S66" i="1"/>
  <c r="V66" i="1" s="1"/>
  <c r="T66" i="1"/>
  <c r="S67" i="1"/>
  <c r="V67" i="1" s="1"/>
  <c r="T67" i="1"/>
  <c r="S68" i="1"/>
  <c r="V68" i="1" s="1"/>
  <c r="T68" i="1"/>
  <c r="S69" i="1"/>
  <c r="T69" i="1"/>
  <c r="T58" i="1"/>
  <c r="S58" i="1"/>
  <c r="V58" i="1" s="1"/>
  <c r="T57" i="1"/>
  <c r="S57" i="1"/>
  <c r="V57" i="1" s="1"/>
  <c r="S54" i="1"/>
  <c r="V54" i="1" s="1"/>
  <c r="T54" i="1"/>
  <c r="S55" i="1"/>
  <c r="V55" i="1" s="1"/>
  <c r="T55" i="1"/>
  <c r="S56" i="1"/>
  <c r="V56" i="1" s="1"/>
  <c r="T56" i="1"/>
  <c r="T53" i="1"/>
  <c r="S53" i="1"/>
  <c r="S43" i="1"/>
  <c r="T43" i="1"/>
  <c r="S44" i="1"/>
  <c r="T44" i="1"/>
  <c r="S45" i="1"/>
  <c r="V45" i="1" s="1"/>
  <c r="T45" i="1"/>
  <c r="S46" i="1"/>
  <c r="V46" i="1" s="1"/>
  <c r="T46" i="1"/>
  <c r="S47" i="1"/>
  <c r="V47" i="1" s="1"/>
  <c r="T47" i="1"/>
  <c r="S48" i="1"/>
  <c r="T48" i="1"/>
  <c r="S49" i="1"/>
  <c r="T49" i="1"/>
  <c r="S50" i="1"/>
  <c r="T50" i="1"/>
  <c r="S51" i="1"/>
  <c r="V51" i="1" s="1"/>
  <c r="T51" i="1"/>
  <c r="S52" i="1"/>
  <c r="V52" i="1" s="1"/>
  <c r="T52" i="1"/>
  <c r="T42" i="1"/>
  <c r="S42" i="1"/>
  <c r="S37" i="1"/>
  <c r="T37" i="1"/>
  <c r="S38" i="1"/>
  <c r="T38" i="1"/>
  <c r="S39" i="1"/>
  <c r="T39" i="1"/>
  <c r="S40" i="1"/>
  <c r="V40" i="1" s="1"/>
  <c r="T40" i="1"/>
  <c r="S41" i="1"/>
  <c r="V41" i="1" s="1"/>
  <c r="T41" i="1"/>
  <c r="T36" i="1"/>
  <c r="S36" i="1"/>
  <c r="T33" i="1"/>
  <c r="V33" i="1" s="1"/>
  <c r="T34" i="1"/>
  <c r="V34" i="1" s="1"/>
  <c r="T35" i="1"/>
  <c r="V35" i="1" s="1"/>
  <c r="T32" i="1"/>
  <c r="V32" i="1" s="1"/>
  <c r="T31" i="1"/>
  <c r="S31" i="1"/>
  <c r="S27" i="1"/>
  <c r="V27" i="1" s="1"/>
  <c r="T27" i="1"/>
  <c r="S28" i="1"/>
  <c r="V28" i="1" s="1"/>
  <c r="T28" i="1"/>
  <c r="S29" i="1"/>
  <c r="V29" i="1" s="1"/>
  <c r="T29" i="1"/>
  <c r="S30" i="1"/>
  <c r="T30" i="1"/>
  <c r="T26" i="1"/>
  <c r="S26" i="1"/>
  <c r="V26" i="1" s="1"/>
  <c r="S23" i="1"/>
  <c r="T23" i="1"/>
  <c r="S24" i="1"/>
  <c r="V24" i="1" s="1"/>
  <c r="T24" i="1"/>
  <c r="S25" i="1"/>
  <c r="V25" i="1" s="1"/>
  <c r="T25" i="1"/>
  <c r="T22" i="1"/>
  <c r="S22" i="1"/>
  <c r="S21" i="1"/>
  <c r="T21" i="1"/>
  <c r="T20" i="1"/>
  <c r="S20" i="1"/>
  <c r="V20" i="1" s="1"/>
  <c r="T19" i="1"/>
  <c r="S19" i="1"/>
  <c r="S10" i="1"/>
  <c r="V10" i="1" s="1"/>
  <c r="T10" i="1"/>
  <c r="S11" i="1"/>
  <c r="V11" i="1" s="1"/>
  <c r="T11" i="1"/>
  <c r="S12" i="1"/>
  <c r="V12" i="1" s="1"/>
  <c r="T12" i="1"/>
  <c r="S13" i="1"/>
  <c r="T13" i="1"/>
  <c r="S14" i="1"/>
  <c r="T14" i="1"/>
  <c r="S15" i="1"/>
  <c r="T15" i="1"/>
  <c r="S16" i="1"/>
  <c r="V16" i="1" s="1"/>
  <c r="T16" i="1"/>
  <c r="S17" i="1"/>
  <c r="V17" i="1" s="1"/>
  <c r="T17" i="1"/>
  <c r="S18" i="1"/>
  <c r="V18" i="1" s="1"/>
  <c r="T18" i="1"/>
  <c r="T9" i="1"/>
  <c r="S9" i="1"/>
  <c r="V9" i="1" s="1"/>
  <c r="S3" i="1"/>
  <c r="S4" i="1"/>
  <c r="S5" i="1"/>
  <c r="V5" i="1" s="1"/>
  <c r="S6" i="1"/>
  <c r="S7" i="1"/>
  <c r="V7" i="1" s="1"/>
  <c r="S8" i="1"/>
  <c r="T2" i="1"/>
  <c r="T3" i="1"/>
  <c r="T4" i="1"/>
  <c r="T5" i="1"/>
  <c r="T6" i="1"/>
  <c r="T7" i="1"/>
  <c r="T8" i="1"/>
  <c r="S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W203" i="1" s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H212" i="1"/>
  <c r="H211" i="1"/>
  <c r="H178" i="1"/>
  <c r="H169" i="1"/>
  <c r="H160" i="1"/>
  <c r="H159" i="1"/>
  <c r="H156" i="1"/>
  <c r="H155" i="1"/>
  <c r="H154" i="1"/>
  <c r="H136" i="1"/>
  <c r="H134" i="1"/>
  <c r="H131" i="1"/>
  <c r="H98" i="1"/>
  <c r="H78" i="1"/>
  <c r="H41" i="1"/>
  <c r="H30" i="1"/>
  <c r="H29" i="1"/>
  <c r="H20" i="1"/>
  <c r="H19" i="1"/>
  <c r="V15" i="1" l="1"/>
  <c r="V23" i="1"/>
  <c r="V39" i="1"/>
  <c r="V50" i="1"/>
  <c r="W193" i="1"/>
  <c r="W73" i="1"/>
  <c r="W85" i="1"/>
  <c r="V2" i="1"/>
  <c r="V4" i="1"/>
  <c r="W120" i="1"/>
  <c r="V3" i="1"/>
  <c r="V94" i="1"/>
  <c r="V205" i="1"/>
  <c r="V37" i="1"/>
  <c r="V53" i="1"/>
  <c r="V106" i="1"/>
  <c r="V121" i="1"/>
  <c r="W121" i="1" s="1"/>
  <c r="V137" i="1"/>
  <c r="V143" i="1"/>
  <c r="W143" i="1" s="1"/>
  <c r="V149" i="1"/>
  <c r="W149" i="1" s="1"/>
  <c r="V167" i="1"/>
  <c r="V173" i="1"/>
  <c r="W173" i="1" s="1"/>
  <c r="V179" i="1"/>
  <c r="V185" i="1"/>
  <c r="V204" i="1"/>
  <c r="V215" i="1"/>
  <c r="V209" i="1"/>
  <c r="W157" i="1"/>
  <c r="W177" i="1"/>
  <c r="V22" i="1"/>
  <c r="V97" i="1"/>
  <c r="W97" i="1" s="1"/>
  <c r="V109" i="1"/>
  <c r="W109" i="1" s="1"/>
  <c r="V163" i="1"/>
  <c r="V171" i="1"/>
  <c r="W171" i="1" s="1"/>
  <c r="V183" i="1"/>
  <c r="V198" i="1"/>
  <c r="V192" i="1"/>
  <c r="V186" i="1"/>
  <c r="V202" i="1"/>
  <c r="W202" i="1" s="1"/>
  <c r="V213" i="1"/>
  <c r="V44" i="1"/>
  <c r="W44" i="1" s="1"/>
  <c r="V65" i="1"/>
  <c r="V59" i="1"/>
  <c r="W59" i="1" s="1"/>
  <c r="V82" i="1"/>
  <c r="W82" i="1" s="1"/>
  <c r="V95" i="1"/>
  <c r="W95" i="1" s="1"/>
  <c r="V89" i="1"/>
  <c r="W89" i="1" s="1"/>
  <c r="V99" i="1"/>
  <c r="V108" i="1"/>
  <c r="V129" i="1"/>
  <c r="V123" i="1"/>
  <c r="V117" i="1"/>
  <c r="W117" i="1" s="1"/>
  <c r="V111" i="1"/>
  <c r="V131" i="1"/>
  <c r="W131" i="1" s="1"/>
  <c r="V139" i="1"/>
  <c r="W139" i="1" s="1"/>
  <c r="V145" i="1"/>
  <c r="W145" i="1" s="1"/>
  <c r="V151" i="1"/>
  <c r="W151" i="1" s="1"/>
  <c r="V161" i="1"/>
  <c r="W161" i="1" s="1"/>
  <c r="V155" i="1"/>
  <c r="W155" i="1" s="1"/>
  <c r="V169" i="1"/>
  <c r="V174" i="1"/>
  <c r="V181" i="1"/>
  <c r="V196" i="1"/>
  <c r="V190" i="1"/>
  <c r="W190" i="1" s="1"/>
  <c r="V206" i="1"/>
  <c r="V211" i="1"/>
  <c r="W211" i="1" s="1"/>
  <c r="W156" i="1"/>
  <c r="V49" i="1"/>
  <c r="W49" i="1" s="1"/>
  <c r="V64" i="1"/>
  <c r="W64" i="1" s="1"/>
  <c r="V77" i="1"/>
  <c r="W77" i="1" s="1"/>
  <c r="V81" i="1"/>
  <c r="W81" i="1" s="1"/>
  <c r="V88" i="1"/>
  <c r="V107" i="1"/>
  <c r="W107" i="1" s="1"/>
  <c r="V128" i="1"/>
  <c r="V122" i="1"/>
  <c r="V116" i="1"/>
  <c r="W116" i="1" s="1"/>
  <c r="V138" i="1"/>
  <c r="V144" i="1"/>
  <c r="W144" i="1" s="1"/>
  <c r="V160" i="1"/>
  <c r="W160" i="1" s="1"/>
  <c r="V168" i="1"/>
  <c r="W168" i="1" s="1"/>
  <c r="V180" i="1"/>
  <c r="W180" i="1" s="1"/>
  <c r="V195" i="1"/>
  <c r="V189" i="1"/>
  <c r="W189" i="1" s="1"/>
  <c r="V210" i="1"/>
  <c r="W217" i="1"/>
  <c r="V38" i="1"/>
  <c r="W38" i="1" s="1"/>
  <c r="V14" i="1"/>
  <c r="W14" i="1" s="1"/>
  <c r="V21" i="1"/>
  <c r="W21" i="1" s="1"/>
  <c r="V69" i="1"/>
  <c r="W69" i="1" s="1"/>
  <c r="V74" i="1"/>
  <c r="V76" i="1"/>
  <c r="W76" i="1" s="1"/>
  <c r="V80" i="1"/>
  <c r="W80" i="1" s="1"/>
  <c r="V87" i="1"/>
  <c r="V103" i="1"/>
  <c r="W103" i="1" s="1"/>
  <c r="V127" i="1"/>
  <c r="V115" i="1"/>
  <c r="V135" i="1"/>
  <c r="V165" i="1"/>
  <c r="W165" i="1" s="1"/>
  <c r="V159" i="1"/>
  <c r="V194" i="1"/>
  <c r="W194" i="1" s="1"/>
  <c r="V188" i="1"/>
  <c r="W188" i="1" s="1"/>
  <c r="W132" i="1"/>
  <c r="V43" i="1"/>
  <c r="W43" i="1" s="1"/>
  <c r="W191" i="1"/>
  <c r="V13" i="1"/>
  <c r="W13" i="1" s="1"/>
  <c r="V30" i="1"/>
  <c r="W30" i="1" s="1"/>
  <c r="V48" i="1"/>
  <c r="W48" i="1" s="1"/>
  <c r="V63" i="1"/>
  <c r="W63" i="1" s="1"/>
  <c r="V93" i="1"/>
  <c r="W201" i="1"/>
  <c r="V36" i="1"/>
  <c r="W36" i="1" s="1"/>
  <c r="V42" i="1"/>
  <c r="W42" i="1" s="1"/>
  <c r="V78" i="1"/>
  <c r="V150" i="1"/>
  <c r="W150" i="1" s="1"/>
  <c r="W212" i="1"/>
  <c r="W200" i="1"/>
  <c r="W133" i="1"/>
  <c r="W197" i="1"/>
  <c r="V8" i="1"/>
  <c r="V98" i="1"/>
  <c r="V104" i="1"/>
  <c r="W104" i="1" s="1"/>
  <c r="V110" i="1"/>
  <c r="W110" i="1" s="1"/>
  <c r="W205" i="1"/>
  <c r="V218" i="1"/>
  <c r="W218" i="1" s="1"/>
  <c r="V6" i="1"/>
  <c r="W6" i="1" s="1"/>
  <c r="V19" i="1"/>
  <c r="W19" i="1" s="1"/>
  <c r="V31" i="1"/>
  <c r="W31" i="1" s="1"/>
  <c r="W206" i="1"/>
  <c r="W122" i="1"/>
  <c r="W181" i="1"/>
  <c r="W169" i="1"/>
  <c r="W61" i="1"/>
  <c r="W37" i="1"/>
  <c r="W25" i="1"/>
  <c r="W182" i="1"/>
  <c r="W2" i="1"/>
  <c r="W192" i="1"/>
  <c r="W108" i="1"/>
  <c r="W12" i="1"/>
  <c r="W26" i="1"/>
  <c r="W204" i="1"/>
  <c r="W72" i="1"/>
  <c r="W214" i="1"/>
  <c r="W178" i="1"/>
  <c r="W166" i="1"/>
  <c r="W154" i="1"/>
  <c r="W142" i="1"/>
  <c r="W130" i="1"/>
  <c r="W118" i="1"/>
  <c r="W106" i="1"/>
  <c r="W94" i="1"/>
  <c r="W70" i="1"/>
  <c r="W58" i="1"/>
  <c r="W46" i="1"/>
  <c r="W34" i="1"/>
  <c r="W22" i="1"/>
  <c r="W10" i="1"/>
  <c r="W146" i="1"/>
  <c r="W50" i="1"/>
  <c r="W216" i="1"/>
  <c r="W35" i="1"/>
  <c r="W213" i="1"/>
  <c r="W153" i="1"/>
  <c r="W141" i="1"/>
  <c r="W129" i="1"/>
  <c r="W105" i="1"/>
  <c r="W93" i="1"/>
  <c r="W57" i="1"/>
  <c r="W45" i="1"/>
  <c r="W33" i="1"/>
  <c r="W9" i="1"/>
  <c r="W134" i="1"/>
  <c r="W24" i="1"/>
  <c r="W23" i="1"/>
  <c r="W176" i="1"/>
  <c r="W164" i="1"/>
  <c r="W152" i="1"/>
  <c r="W140" i="1"/>
  <c r="W128" i="1"/>
  <c r="W92" i="1"/>
  <c r="W68" i="1"/>
  <c r="W56" i="1"/>
  <c r="W32" i="1"/>
  <c r="W20" i="1"/>
  <c r="W8" i="1"/>
  <c r="W98" i="1"/>
  <c r="W84" i="1"/>
  <c r="W215" i="1"/>
  <c r="W119" i="1"/>
  <c r="W11" i="1"/>
  <c r="W199" i="1"/>
  <c r="W187" i="1"/>
  <c r="W175" i="1"/>
  <c r="W163" i="1"/>
  <c r="W127" i="1"/>
  <c r="W115" i="1"/>
  <c r="W91" i="1"/>
  <c r="W79" i="1"/>
  <c r="W67" i="1"/>
  <c r="W55" i="1"/>
  <c r="W7" i="1"/>
  <c r="W78" i="1"/>
  <c r="W54" i="1"/>
  <c r="W18" i="1"/>
  <c r="W158" i="1"/>
  <c r="W62" i="1"/>
  <c r="W179" i="1"/>
  <c r="W83" i="1"/>
  <c r="W210" i="1"/>
  <c r="W174" i="1"/>
  <c r="W138" i="1"/>
  <c r="W114" i="1"/>
  <c r="W66" i="1"/>
  <c r="W209" i="1"/>
  <c r="W185" i="1"/>
  <c r="W137" i="1"/>
  <c r="W125" i="1"/>
  <c r="W113" i="1"/>
  <c r="W101" i="1"/>
  <c r="W65" i="1"/>
  <c r="W53" i="1"/>
  <c r="W41" i="1"/>
  <c r="W29" i="1"/>
  <c r="W17" i="1"/>
  <c r="W5" i="1"/>
  <c r="W74" i="1"/>
  <c r="W96" i="1"/>
  <c r="W47" i="1"/>
  <c r="W186" i="1"/>
  <c r="W90" i="1"/>
  <c r="W208" i="1"/>
  <c r="W196" i="1"/>
  <c r="W184" i="1"/>
  <c r="W172" i="1"/>
  <c r="W148" i="1"/>
  <c r="W136" i="1"/>
  <c r="W124" i="1"/>
  <c r="W112" i="1"/>
  <c r="W100" i="1"/>
  <c r="W88" i="1"/>
  <c r="W52" i="1"/>
  <c r="W40" i="1"/>
  <c r="W28" i="1"/>
  <c r="W16" i="1"/>
  <c r="W4" i="1"/>
  <c r="W170" i="1"/>
  <c r="W86" i="1"/>
  <c r="W60" i="1"/>
  <c r="W167" i="1"/>
  <c r="W71" i="1"/>
  <c r="W198" i="1"/>
  <c r="W162" i="1"/>
  <c r="W126" i="1"/>
  <c r="W102" i="1"/>
  <c r="W207" i="1"/>
  <c r="W195" i="1"/>
  <c r="W183" i="1"/>
  <c r="W159" i="1"/>
  <c r="W147" i="1"/>
  <c r="W135" i="1"/>
  <c r="W123" i="1"/>
  <c r="W111" i="1"/>
  <c r="W99" i="1"/>
  <c r="W87" i="1"/>
  <c r="W75" i="1"/>
  <c r="W51" i="1"/>
  <c r="W39" i="1"/>
  <c r="W27" i="1"/>
  <c r="W15" i="1"/>
  <c r="W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I9" i="1" l="1"/>
  <c r="L9" i="1" s="1"/>
  <c r="N9" i="1" s="1"/>
  <c r="G97" i="1" l="1"/>
  <c r="H97" i="1" s="1"/>
  <c r="G16" i="1" l="1"/>
  <c r="H16" i="1" s="1"/>
</calcChain>
</file>

<file path=xl/sharedStrings.xml><?xml version="1.0" encoding="utf-8"?>
<sst xmlns="http://schemas.openxmlformats.org/spreadsheetml/2006/main" count="814" uniqueCount="404">
  <si>
    <t>Country</t>
  </si>
  <si>
    <t>Algeria</t>
  </si>
  <si>
    <t>Erraguene</t>
  </si>
  <si>
    <t>Djen Djen</t>
  </si>
  <si>
    <t>Mediterranean Coast</t>
  </si>
  <si>
    <t>Name of dam</t>
  </si>
  <si>
    <t>River</t>
  </si>
  <si>
    <t>Major basin</t>
  </si>
  <si>
    <t>Completed /operational since</t>
  </si>
  <si>
    <t>Dam height (m)</t>
  </si>
  <si>
    <t>Reservoir capacity (million m3)</t>
  </si>
  <si>
    <t>Reservoir area (km2)</t>
  </si>
  <si>
    <t>Hydroelectricity (MW)</t>
  </si>
  <si>
    <t>Decimal degree latitude</t>
  </si>
  <si>
    <t>Decimal degree longitude</t>
  </si>
  <si>
    <t>Ighil Emda</t>
  </si>
  <si>
    <t>Agrioum</t>
  </si>
  <si>
    <t>Angola</t>
  </si>
  <si>
    <t>Cameroon</t>
  </si>
  <si>
    <t>Central African Republic</t>
  </si>
  <si>
    <t>Congo</t>
  </si>
  <si>
    <t>Equatorial Guinea</t>
  </si>
  <si>
    <t>Gabon</t>
  </si>
  <si>
    <t>Burundi</t>
  </si>
  <si>
    <t>Egypt</t>
  </si>
  <si>
    <t>Ethiopia</t>
  </si>
  <si>
    <t>Kenya</t>
  </si>
  <si>
    <t>Rwanda</t>
  </si>
  <si>
    <t>South Sudan</t>
  </si>
  <si>
    <t>Sudan</t>
  </si>
  <si>
    <t>Uganda</t>
  </si>
  <si>
    <t>Morocco</t>
  </si>
  <si>
    <t>Tunisia</t>
  </si>
  <si>
    <t>Cambambe</t>
  </si>
  <si>
    <t>South West Coast</t>
  </si>
  <si>
    <t>Capanda</t>
  </si>
  <si>
    <t>Matala</t>
  </si>
  <si>
    <t>Gove</t>
  </si>
  <si>
    <t>Mabubas</t>
  </si>
  <si>
    <t>Biopio</t>
  </si>
  <si>
    <t>Catumbela</t>
  </si>
  <si>
    <t>Calueque</t>
  </si>
  <si>
    <t>Lomaum</t>
  </si>
  <si>
    <t>Edea</t>
  </si>
  <si>
    <t>Sanaga</t>
  </si>
  <si>
    <t>Central West Coast</t>
  </si>
  <si>
    <t>Mbakaou</t>
  </si>
  <si>
    <t>Song Loulou</t>
  </si>
  <si>
    <t/>
  </si>
  <si>
    <t>Boali I and II</t>
  </si>
  <si>
    <t>Congo River Basin</t>
  </si>
  <si>
    <t>Moukoukoulou</t>
  </si>
  <si>
    <t>Bouenza</t>
  </si>
  <si>
    <t>Imboulou</t>
  </si>
  <si>
    <t>Democratic Republic of the Congo</t>
  </si>
  <si>
    <t>Inga I</t>
  </si>
  <si>
    <t>Inga II</t>
  </si>
  <si>
    <t>Koni</t>
  </si>
  <si>
    <t>Lufira</t>
  </si>
  <si>
    <t>Mobayi</t>
  </si>
  <si>
    <t>N'Seke</t>
  </si>
  <si>
    <t>N'Zilo I and II</t>
  </si>
  <si>
    <t>Ruzizi</t>
  </si>
  <si>
    <t>Zongo I</t>
  </si>
  <si>
    <t>Zongo II</t>
  </si>
  <si>
    <t>Djiboloho</t>
  </si>
  <si>
    <t>Tchimbele</t>
  </si>
  <si>
    <t>Grand Poubara</t>
  </si>
  <si>
    <t>Rwegura</t>
  </si>
  <si>
    <t>Mugere</t>
  </si>
  <si>
    <t>Nile</t>
  </si>
  <si>
    <t>Nile Basin</t>
  </si>
  <si>
    <t>Naga Hamadi</t>
  </si>
  <si>
    <t>Esna</t>
  </si>
  <si>
    <t>Old Aswan</t>
  </si>
  <si>
    <t>High Aswan</t>
  </si>
  <si>
    <t>Awash I</t>
  </si>
  <si>
    <t>Awash II,III</t>
  </si>
  <si>
    <t>Finchaa</t>
  </si>
  <si>
    <t>Blue Nile</t>
  </si>
  <si>
    <t xml:space="preserve">Fincha Amerti Neshe </t>
  </si>
  <si>
    <t>Gilgel Gibe I</t>
  </si>
  <si>
    <t>Gilgel Gibe II</t>
  </si>
  <si>
    <t>Gilgel Gibe III</t>
  </si>
  <si>
    <t>Melka Wakena</t>
  </si>
  <si>
    <t>Wabi Shebele</t>
  </si>
  <si>
    <t>Shebelli &amp; Juba Basin</t>
  </si>
  <si>
    <t>Beles</t>
  </si>
  <si>
    <t>Tekeze</t>
  </si>
  <si>
    <t>Tis Abay</t>
  </si>
  <si>
    <t>Genale III</t>
  </si>
  <si>
    <t>Genale</t>
  </si>
  <si>
    <t>Gitaru</t>
  </si>
  <si>
    <t>Tana</t>
  </si>
  <si>
    <t>East Central Coast</t>
  </si>
  <si>
    <t>Kiambere</t>
  </si>
  <si>
    <t>Kindaruma</t>
  </si>
  <si>
    <t>Masinga</t>
  </si>
  <si>
    <t>Kamburu</t>
  </si>
  <si>
    <t>Sondu Miriu</t>
  </si>
  <si>
    <t>Turkwel</t>
  </si>
  <si>
    <t>Rift Valley</t>
  </si>
  <si>
    <t>White Nile</t>
  </si>
  <si>
    <t>Mukungwa</t>
  </si>
  <si>
    <t>Mukungwa I and II</t>
  </si>
  <si>
    <t>Nyabarongo</t>
  </si>
  <si>
    <t>Rukarara</t>
  </si>
  <si>
    <t>Rusizi</t>
  </si>
  <si>
    <t>Merowe</t>
  </si>
  <si>
    <t>Roseires</t>
  </si>
  <si>
    <t>Sennar</t>
  </si>
  <si>
    <t>Jebel Aulia Dam</t>
  </si>
  <si>
    <t>Khashm El Gibra</t>
  </si>
  <si>
    <t>Atbara</t>
  </si>
  <si>
    <t>Upper Atbara and Setit</t>
  </si>
  <si>
    <t>Juba</t>
  </si>
  <si>
    <t>United Republic of Tanzania</t>
  </si>
  <si>
    <t>Mtera</t>
  </si>
  <si>
    <t>Great Ruaha</t>
  </si>
  <si>
    <t>Lower Kihansi</t>
  </si>
  <si>
    <t>Rufiji</t>
  </si>
  <si>
    <t>Nyumba Ya Mungu</t>
  </si>
  <si>
    <t>Pangani</t>
  </si>
  <si>
    <t>Kidatu</t>
  </si>
  <si>
    <t>Pangani Falls II</t>
  </si>
  <si>
    <t>Hale Tanesco</t>
  </si>
  <si>
    <t>Bugoye</t>
  </si>
  <si>
    <t>Bujagali</t>
  </si>
  <si>
    <t xml:space="preserve">Kabalega </t>
  </si>
  <si>
    <t>Kanungu</t>
  </si>
  <si>
    <t>Ishasha</t>
  </si>
  <si>
    <t>Kiira</t>
  </si>
  <si>
    <t>Mpanga</t>
  </si>
  <si>
    <t>Mubuku I</t>
  </si>
  <si>
    <t>Mubuku III</t>
  </si>
  <si>
    <t>Mbuku</t>
  </si>
  <si>
    <t>Narubale</t>
  </si>
  <si>
    <t>Nyagak</t>
  </si>
  <si>
    <t>Kisiizi</t>
  </si>
  <si>
    <t>Siti I</t>
  </si>
  <si>
    <t>Siti</t>
  </si>
  <si>
    <t>Siti II</t>
  </si>
  <si>
    <t>Rwimi</t>
  </si>
  <si>
    <t>Muvembe</t>
  </si>
  <si>
    <t>Al Massira</t>
  </si>
  <si>
    <t>Oum Er R'Bia</t>
  </si>
  <si>
    <t>North West Coast</t>
  </si>
  <si>
    <t>Al Wahda</t>
  </si>
  <si>
    <t>Allal Al Fassi</t>
  </si>
  <si>
    <t>Sebou</t>
  </si>
  <si>
    <t>Bin El Ouidane</t>
  </si>
  <si>
    <t>Afourer</t>
  </si>
  <si>
    <t>El Borj</t>
  </si>
  <si>
    <t>Lakhdar</t>
  </si>
  <si>
    <t>Idriss I</t>
  </si>
  <si>
    <t>Hassan I</t>
  </si>
  <si>
    <t>El Kansera</t>
  </si>
  <si>
    <t>Mohammed V</t>
  </si>
  <si>
    <t>Moulouya</t>
  </si>
  <si>
    <t>Tanafit El Borj</t>
  </si>
  <si>
    <t>Sidi Said Maachou</t>
  </si>
  <si>
    <t>Oued El Makhazine</t>
  </si>
  <si>
    <t>Moulay Youssef</t>
  </si>
  <si>
    <t>Imfout</t>
  </si>
  <si>
    <t>Daourat</t>
  </si>
  <si>
    <t>Sidi Salem</t>
  </si>
  <si>
    <t>Nebeur</t>
  </si>
  <si>
    <t>Aroussia</t>
  </si>
  <si>
    <t>Kasseb</t>
  </si>
  <si>
    <t>Mbali</t>
  </si>
  <si>
    <t>Lefini</t>
  </si>
  <si>
    <t>Ubangi</t>
  </si>
  <si>
    <t>Ogooue</t>
  </si>
  <si>
    <t>Kunene</t>
  </si>
  <si>
    <t>Sondu</t>
  </si>
  <si>
    <t>Atbarah</t>
  </si>
  <si>
    <t>Ruzizi I CD</t>
  </si>
  <si>
    <t>Ruzizi II CD</t>
  </si>
  <si>
    <t>Ruzizi I RW</t>
  </si>
  <si>
    <t>Ruzizi II RW</t>
  </si>
  <si>
    <t>Bou Hanifia</t>
  </si>
  <si>
    <t>Derguinah</t>
  </si>
  <si>
    <t>Gargar</t>
  </si>
  <si>
    <t>Mansouria</t>
  </si>
  <si>
    <t>Oued Fodda</t>
  </si>
  <si>
    <t>Chicapa-I</t>
  </si>
  <si>
    <t>Lagdo</t>
  </si>
  <si>
    <t>Kinguele</t>
  </si>
  <si>
    <t>Lalla Takerkoust</t>
  </si>
  <si>
    <t>Mansour Eddahbi</t>
  </si>
  <si>
    <t>Fernana</t>
  </si>
  <si>
    <t>El Hammam</t>
  </si>
  <si>
    <t>El Tleta</t>
  </si>
  <si>
    <t>Uggug Iragen</t>
  </si>
  <si>
    <t>Fodda</t>
  </si>
  <si>
    <t>Cuanza</t>
  </si>
  <si>
    <t>Bandoca</t>
  </si>
  <si>
    <t>Dange</t>
  </si>
  <si>
    <t>Chicapa</t>
  </si>
  <si>
    <t>Benue</t>
  </si>
  <si>
    <t>Kansi</t>
  </si>
  <si>
    <t>Benito</t>
  </si>
  <si>
    <t>Awash</t>
  </si>
  <si>
    <t>Gibir Shet</t>
  </si>
  <si>
    <t>Mabo</t>
  </si>
  <si>
    <t>Abangassa</t>
  </si>
  <si>
    <t>Victoria Nile</t>
  </si>
  <si>
    <t>Sagana</t>
  </si>
  <si>
    <t>Alhandar</t>
  </si>
  <si>
    <t>Ouerrha</t>
  </si>
  <si>
    <t>L'abid</t>
  </si>
  <si>
    <t>Er-Rbia</t>
  </si>
  <si>
    <t>Baht</t>
  </si>
  <si>
    <t>Abiod</t>
  </si>
  <si>
    <t>Tassaout</t>
  </si>
  <si>
    <t>Loukos</t>
  </si>
  <si>
    <t>Oum Er R'bia</t>
  </si>
  <si>
    <t>Tensift</t>
  </si>
  <si>
    <t>Draa</t>
  </si>
  <si>
    <t>Kivu</t>
  </si>
  <si>
    <t>Madjerda</t>
  </si>
  <si>
    <t>Mellegue</t>
  </si>
  <si>
    <t>Sejnane</t>
  </si>
  <si>
    <t>Medjerda</t>
  </si>
  <si>
    <t>Sidi Bou Heurtma</t>
  </si>
  <si>
    <t>Mubuku</t>
  </si>
  <si>
    <t>Kanyabaha</t>
  </si>
  <si>
    <t>Muvumba</t>
  </si>
  <si>
    <t>Rovuma</t>
  </si>
  <si>
    <t>Benin</t>
  </si>
  <si>
    <t>Burkina Faso</t>
  </si>
  <si>
    <t>Côte d'Ivoire</t>
  </si>
  <si>
    <t>Ghana</t>
  </si>
  <si>
    <t>Guinea</t>
  </si>
  <si>
    <t>Liberia</t>
  </si>
  <si>
    <t>Mali</t>
  </si>
  <si>
    <t>Niger</t>
  </si>
  <si>
    <t>Nigeria</t>
  </si>
  <si>
    <t>Sierra Leone</t>
  </si>
  <si>
    <t>Zimbabwe</t>
  </si>
  <si>
    <t>Zambia</t>
  </si>
  <si>
    <t>Swaziland</t>
  </si>
  <si>
    <t>South Africa</t>
  </si>
  <si>
    <t>Namibia</t>
  </si>
  <si>
    <t>Mozambique</t>
  </si>
  <si>
    <t>Malawi</t>
  </si>
  <si>
    <t>Lesotho</t>
  </si>
  <si>
    <t>Kapichira</t>
  </si>
  <si>
    <t>Shire</t>
  </si>
  <si>
    <t>Zambezi Basin</t>
  </si>
  <si>
    <t>Nkula A and B</t>
  </si>
  <si>
    <t>Tedzani Falls</t>
  </si>
  <si>
    <t>Wovwe</t>
  </si>
  <si>
    <t>Mavuzi</t>
  </si>
  <si>
    <t>Revue</t>
  </si>
  <si>
    <t>Indian Ocean Coast</t>
  </si>
  <si>
    <t>Chicamba Real</t>
  </si>
  <si>
    <t>Revué</t>
  </si>
  <si>
    <t>Corumana</t>
  </si>
  <si>
    <t>Sabié</t>
  </si>
  <si>
    <t>Cuamba</t>
  </si>
  <si>
    <t>Nacala</t>
  </si>
  <si>
    <t>Cachora Bassa</t>
  </si>
  <si>
    <t>Moecula</t>
  </si>
  <si>
    <t>Zambeze</t>
  </si>
  <si>
    <t>Ruacana</t>
  </si>
  <si>
    <t>Ingula Pumped Storage</t>
  </si>
  <si>
    <t>Drakensberg Pumped Storage</t>
  </si>
  <si>
    <t>Gariep</t>
  </si>
  <si>
    <t>Orange</t>
  </si>
  <si>
    <t>Orange-Senqu River Basin</t>
  </si>
  <si>
    <t>Palmiet Pumped Storage</t>
  </si>
  <si>
    <t>Palmiet</t>
  </si>
  <si>
    <t>Steenbras</t>
  </si>
  <si>
    <t>Van Der Kloof</t>
  </si>
  <si>
    <t>Collywobbles</t>
  </si>
  <si>
    <t>Mbhashe</t>
  </si>
  <si>
    <t>Ncora</t>
  </si>
  <si>
    <t>Sol Plaatje</t>
  </si>
  <si>
    <t>Maguga</t>
  </si>
  <si>
    <t>Komati</t>
  </si>
  <si>
    <t>Ezulwini</t>
  </si>
  <si>
    <t>Lusushwana</t>
  </si>
  <si>
    <t>Edwaleni</t>
  </si>
  <si>
    <t>Nyetane</t>
  </si>
  <si>
    <t>Kafue Gorge</t>
  </si>
  <si>
    <t>Kafue</t>
  </si>
  <si>
    <t>Zambezi</t>
  </si>
  <si>
    <t>Itezhi-Tezhi</t>
  </si>
  <si>
    <t>Victoria Falls</t>
  </si>
  <si>
    <t>Mulungushi</t>
  </si>
  <si>
    <t>Lusemfwa</t>
  </si>
  <si>
    <t>Lunsemfwa</t>
  </si>
  <si>
    <t>Lusiwasi</t>
  </si>
  <si>
    <t>Chishimba Falls</t>
  </si>
  <si>
    <t>Zengamina</t>
  </si>
  <si>
    <t>Katse Dam</t>
  </si>
  <si>
    <t>Tokwe</t>
  </si>
  <si>
    <t>Nangbeto East</t>
  </si>
  <si>
    <t>Nangbeto West</t>
  </si>
  <si>
    <t>Beregadougou</t>
  </si>
  <si>
    <t>West Coast</t>
  </si>
  <si>
    <t>White Volta</t>
  </si>
  <si>
    <t>Kompienga</t>
  </si>
  <si>
    <t>Ouale</t>
  </si>
  <si>
    <t>Soubre</t>
  </si>
  <si>
    <t>Sassandra</t>
  </si>
  <si>
    <t>Taabo</t>
  </si>
  <si>
    <t>Bandama</t>
  </si>
  <si>
    <t>Kossou</t>
  </si>
  <si>
    <t>Ayme I</t>
  </si>
  <si>
    <t>Ayme II</t>
  </si>
  <si>
    <t>Bia</t>
  </si>
  <si>
    <t>Nabyon</t>
  </si>
  <si>
    <t>Faye</t>
  </si>
  <si>
    <t>Akosombo</t>
  </si>
  <si>
    <t>Volta</t>
  </si>
  <si>
    <t>Bui</t>
  </si>
  <si>
    <t>Black Volta</t>
  </si>
  <si>
    <t>Kpong</t>
  </si>
  <si>
    <t>Kaléta</t>
  </si>
  <si>
    <t>Garafir</t>
  </si>
  <si>
    <t>Mount Cofee</t>
  </si>
  <si>
    <t>Saint Paul</t>
  </si>
  <si>
    <t>Firestone</t>
  </si>
  <si>
    <t>Feloue</t>
  </si>
  <si>
    <t>Manantali</t>
  </si>
  <si>
    <t>Kayes</t>
  </si>
  <si>
    <t>Bafing</t>
  </si>
  <si>
    <t>Selingue</t>
  </si>
  <si>
    <t>Sankaran</t>
  </si>
  <si>
    <t>Niger River Basin</t>
  </si>
  <si>
    <t>Sotuba</t>
  </si>
  <si>
    <t>Kainji</t>
  </si>
  <si>
    <t>Jebba</t>
  </si>
  <si>
    <t>Shiroro</t>
  </si>
  <si>
    <t>Kaduna/Dinya</t>
  </si>
  <si>
    <t>Zamfara</t>
  </si>
  <si>
    <t>Bumbuna</t>
  </si>
  <si>
    <t>Banksoka</t>
  </si>
  <si>
    <t>Charlotte Falls</t>
  </si>
  <si>
    <t>Dodo</t>
  </si>
  <si>
    <t>Mauritania</t>
  </si>
  <si>
    <t>Senegal</t>
  </si>
  <si>
    <t>Togo</t>
  </si>
  <si>
    <t>Manantali I</t>
  </si>
  <si>
    <t>Manantali II</t>
  </si>
  <si>
    <t>Lauca</t>
  </si>
  <si>
    <t>Jiji 03</t>
  </si>
  <si>
    <t>Mpanda</t>
  </si>
  <si>
    <t>Lom Pangar</t>
  </si>
  <si>
    <t>Lom</t>
  </si>
  <si>
    <t>Djouel</t>
  </si>
  <si>
    <t>Gamomba</t>
  </si>
  <si>
    <t>Piana Mwanga</t>
  </si>
  <si>
    <t>Poubara</t>
  </si>
  <si>
    <t>Bongolo</t>
  </si>
  <si>
    <t>Baneah</t>
  </si>
  <si>
    <t>Donkea</t>
  </si>
  <si>
    <t>Kinkon</t>
  </si>
  <si>
    <t>La Loffa</t>
  </si>
  <si>
    <t>Tinkisso</t>
  </si>
  <si>
    <t>Song Oro</t>
  </si>
  <si>
    <t>Tana New</t>
  </si>
  <si>
    <t>Wanjii</t>
  </si>
  <si>
    <t>Tagabi and Other Micro</t>
  </si>
  <si>
    <t>Sadiola Mine</t>
  </si>
  <si>
    <t>Ait Messaoud + Micro</t>
  </si>
  <si>
    <t>Abdelmoumen</t>
  </si>
  <si>
    <t>Issen</t>
  </si>
  <si>
    <t>Tenti</t>
  </si>
  <si>
    <t>Kurra Falls</t>
  </si>
  <si>
    <t>Jekko Falls and Micro</t>
  </si>
  <si>
    <t>Ntaruka and Micro</t>
  </si>
  <si>
    <t>Neusberg</t>
  </si>
  <si>
    <t>First and Second Falls</t>
  </si>
  <si>
    <t>Merino and Micro</t>
  </si>
  <si>
    <t>Lupoholo</t>
  </si>
  <si>
    <t>Maputo</t>
  </si>
  <si>
    <t>Maguduza and Micro</t>
  </si>
  <si>
    <t>Sejinanne and Micro</t>
  </si>
  <si>
    <t>Tulila and Micro</t>
  </si>
  <si>
    <t>Lunzua and Musonda Falls</t>
  </si>
  <si>
    <t>Tokwe-Mukorsi and Micro</t>
  </si>
  <si>
    <t>Purposes</t>
  </si>
  <si>
    <t>Kariba I</t>
  </si>
  <si>
    <t>Kariba II</t>
  </si>
  <si>
    <t>WaterWithdrawal (m3/MWh)</t>
  </si>
  <si>
    <t>WaterConsumption (m3/MWh)</t>
  </si>
  <si>
    <t>Average Country Elevation</t>
  </si>
  <si>
    <t>https://doi.org/10.1016/0002-1571(77)90007-3</t>
  </si>
  <si>
    <t>Tm</t>
  </si>
  <si>
    <t>T-Td</t>
  </si>
  <si>
    <t>Average temperature (°C)</t>
  </si>
  <si>
    <t>Average Range</t>
  </si>
  <si>
    <t>Average range hot-cold</t>
  </si>
  <si>
    <t>https://www.weatherbase.com/weather/countryall.php3</t>
  </si>
  <si>
    <t>Eo (mm/year)</t>
  </si>
  <si>
    <t>Water consumption allocation</t>
  </si>
  <si>
    <t>&lt;100</t>
  </si>
  <si>
    <t>100-500</t>
  </si>
  <si>
    <t>&gt;500</t>
  </si>
  <si>
    <t>CF</t>
  </si>
  <si>
    <t>http://dx.doi.org/10.1016/j.apenergy.2017.05.025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</si>
</sst>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0" fillId="0" borderId="0" xfId="0" applyFont="1" applyFill="1" applyBorder="1"/>
    <xf numFmtId="1" fontId="1" fillId="0" borderId="1" xfId="1" applyNumberFormat="1" applyBorder="1"/>
    <xf numFmtId="1" fontId="1" fillId="0" borderId="2" xfId="0" applyNumberFormat="1" applyFont="1" applyBorder="1"/>
    <xf numFmtId="0" fontId="0" fillId="0" borderId="2" xfId="0" applyFill="1" applyBorder="1"/>
    <xf numFmtId="164" fontId="1" fillId="0" borderId="0" xfId="0" applyNumberFormat="1" applyFont="1" applyBorder="1"/>
    <xf numFmtId="0" fontId="0" fillId="3" borderId="0" xfId="0" applyFill="1" applyBorder="1"/>
    <xf numFmtId="0" fontId="0" fillId="0" borderId="0" xfId="0" applyFill="1"/>
    <xf numFmtId="0" fontId="3" fillId="0" borderId="0" xfId="2"/>
    <xf numFmtId="0" fontId="0" fillId="0" borderId="0" xfId="0" applyNumberFormat="1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 xr:uid="{00000000-0005-0000-0000-000003000000}"/>
  </cellStyles>
  <dxfs count="35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18" totalsRowShown="0" headerRowDxfId="23">
  <autoFilter ref="A1:W218" xr:uid="{00000000-0009-0000-0100-000001000000}"/>
  <sortState xmlns:xlrd2="http://schemas.microsoft.com/office/spreadsheetml/2017/richdata2" ref="A2:P218">
    <sortCondition ref="A1:A218"/>
  </sortState>
  <tableColumns count="23">
    <tableColumn id="1" xr3:uid="{00000000-0010-0000-0000-000001000000}" name="Country" dataDxfId="22"/>
    <tableColumn id="2" xr3:uid="{00000000-0010-0000-0000-000002000000}" name="Name of dam" dataDxfId="21"/>
    <tableColumn id="3" xr3:uid="{00000000-0010-0000-0000-000003000000}" name="River" dataDxfId="20"/>
    <tableColumn id="4" xr3:uid="{00000000-0010-0000-0000-000004000000}" name="Major basin" dataDxfId="19"/>
    <tableColumn id="5" xr3:uid="{00000000-0010-0000-0000-000005000000}" name="Completed /operational since" dataDxfId="18"/>
    <tableColumn id="6" xr3:uid="{00000000-0010-0000-0000-000006000000}" name="Dam height (m)" dataDxfId="17"/>
    <tableColumn id="7" xr3:uid="{00000000-0010-0000-0000-000007000000}" name="Reservoir capacity (million m3)" dataDxfId="16"/>
    <tableColumn id="8" xr3:uid="{00000000-0010-0000-0000-000008000000}" name="Reservoir area (km2)" dataDxfId="15"/>
    <tableColumn id="9" xr3:uid="{00000000-0010-0000-0000-000009000000}" name="Hydroelectricity (MW)" dataDxfId="14"/>
    <tableColumn id="25" xr3:uid="{4AAC0E84-A4EB-4FA4-9EE7-1D74702C9153}" name="CF" dataDxfId="13"/>
    <tableColumn id="12" xr3:uid="{C94B9E55-69E7-4F11-9F1E-BFCAFC57327F}" name="Purposes" dataDxfId="12"/>
    <tableColumn id="23" xr3:uid="{42CD748E-708D-40D5-9F4A-1D8AE5E42BDD}" name="Water consumption allocation" dataDxfId="11">
      <calculatedColumnFormula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calculatedColumnFormula>
    </tableColumn>
    <tableColumn id="13" xr3:uid="{8A026178-5E9E-41CE-85D6-50BD09C46B93}" name="WaterWithdrawal (m3/MWh)" dataDxfId="10">
      <calculatedColumnFormula>1000000/1000/9.81/IF(Table1[[#This Row],[Dam height (m)]]="",10,Table1[[#This Row],[Dam height (m)]])*3600</calculatedColumnFormula>
    </tableColumn>
    <tableColumn id="14" xr3:uid="{B599961B-3866-40C2-89B1-0B4CA73D8293}" name="WaterConsumption (m3/MWh)" dataDxfId="9">
      <calculatedColumnFormula>(Table1[[#This Row],[Reservoir area (km2)]]*1000000*Table1[[#This Row],[Eo (mm/year)]]/1000)/Table1[[#This Row],[Hydroelectricity (MW)]]/8760*Table1[[#This Row],[Water consumption allocation]]/Table1[[#This Row],[CF]]</calculatedColumnFormula>
    </tableColumn>
    <tableColumn id="10" xr3:uid="{00000000-0010-0000-0000-00000A000000}" name="Decimal degree latitude" dataDxfId="8"/>
    <tableColumn id="11" xr3:uid="{00000000-0010-0000-0000-00000B000000}" name="Decimal degree longitude" dataDxfId="7"/>
    <tableColumn id="15" xr3:uid="{1B0AC12E-A947-4EF9-9E89-F4885DEDC511}" name="Average Country Elevation" dataDxfId="6"/>
    <tableColumn id="16" xr3:uid="{41832310-432B-45CC-9D49-33522D216ACF}" name="Average temperature (°C)" dataDxfId="5"/>
    <tableColumn id="19" xr3:uid="{9C70D815-1F84-49AB-BBCE-797ECF513C77}" name="Average Range" dataDxfId="4"/>
    <tableColumn id="20" xr3:uid="{E89DFEE3-A082-4E31-A5C3-DC3395F42124}" name="Average range hot-cold" dataDxfId="3">
      <calculatedColumnFormula>26.9-9.2</calculatedColumnFormula>
    </tableColumn>
    <tableColumn id="17" xr3:uid="{F64EC43D-0B74-46C7-860B-1C56B98E539C}" name="Tm" dataDxfId="2">
      <calculatedColumnFormula>Table1[[#This Row],[Average temperature (°C)]]+0.006*Table1[[#This Row],[Average Country Elevation]]</calculatedColumnFormula>
    </tableColumn>
    <tableColumn id="18" xr3:uid="{665C2EE4-EE8A-4A7E-8D53-6EA59E5BF4BA}" name="T-Td" dataDxfId="1">
      <calculatedColumnFormula>0.0023*Table1[[#This Row],[Average Country Elevation]]+0.37*Table1[[#This Row],[Average temperature (°C)]]+0.53*Table1[[#This Row],[Average Range]]+0.35*Table1[[#This Row],[Average range hot-cold]]-10.9</calculatedColumnFormula>
    </tableColumn>
    <tableColumn id="21" xr3:uid="{224BF2DD-9FEC-4747-82AC-EE62B4289E29}" name="Eo (mm/year)" dataDxfId="0">
      <calculatedColumnFormula>(700*Table1[[#This Row],[Tm]]/(100-Table1[[#This Row],[Decimal degree latitude]])+15*Table1[[#This Row],[T-Td]])/(80-Table1[[#This Row],[Average temperature (°C)]])*365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-org.kuleuven.ezproxy.kuleuven.be/10.1016/0002-1571(77)90007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016/j.apenergy.2017.05.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8"/>
  <sheetViews>
    <sheetView tabSelected="1" zoomScale="85" zoomScaleNormal="85" workbookViewId="0">
      <pane ySplit="1" topLeftCell="A176" activePane="bottomLeft" state="frozen"/>
      <selection pane="bottomLeft" activeCell="B185" sqref="B185"/>
    </sheetView>
  </sheetViews>
  <sheetFormatPr defaultRowHeight="15" x14ac:dyDescent="0.25"/>
  <cols>
    <col min="1" max="1" width="17.28515625" style="1" customWidth="1"/>
    <col min="2" max="2" width="22.85546875" style="1" customWidth="1"/>
    <col min="3" max="3" width="14.28515625" style="1" customWidth="1"/>
    <col min="4" max="4" width="21.42578125" style="1" customWidth="1"/>
    <col min="5" max="5" width="10.42578125" style="1" customWidth="1"/>
    <col min="6" max="6" width="11.7109375" style="1" customWidth="1"/>
    <col min="7" max="7" width="16.7109375" style="1" customWidth="1"/>
    <col min="8" max="8" width="11" style="1" customWidth="1"/>
    <col min="9" max="10" width="15.140625" style="1" customWidth="1"/>
    <col min="11" max="12" width="8.85546875" style="1" customWidth="1"/>
    <col min="13" max="14" width="14.140625" style="1" customWidth="1"/>
    <col min="15" max="16" width="11.7109375" style="1" customWidth="1"/>
  </cols>
  <sheetData>
    <row r="1" spans="1:24" ht="51.75" customHeight="1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15" t="s">
        <v>12</v>
      </c>
      <c r="J1" s="15" t="s">
        <v>402</v>
      </c>
      <c r="K1" s="15" t="s">
        <v>384</v>
      </c>
      <c r="L1" s="15" t="s">
        <v>398</v>
      </c>
      <c r="M1" s="15" t="s">
        <v>387</v>
      </c>
      <c r="N1" s="15" t="s">
        <v>388</v>
      </c>
      <c r="O1" s="4" t="s">
        <v>13</v>
      </c>
      <c r="P1" s="4" t="s">
        <v>14</v>
      </c>
      <c r="Q1" s="16" t="s">
        <v>389</v>
      </c>
      <c r="R1" s="16" t="s">
        <v>393</v>
      </c>
      <c r="S1" s="16" t="s">
        <v>394</v>
      </c>
      <c r="T1" s="16" t="s">
        <v>395</v>
      </c>
      <c r="U1" s="16" t="s">
        <v>391</v>
      </c>
      <c r="V1" s="16" t="s">
        <v>392</v>
      </c>
      <c r="W1" s="16" t="s">
        <v>397</v>
      </c>
    </row>
    <row r="2" spans="1:24" x14ac:dyDescent="0.25">
      <c r="A2" s="2" t="s">
        <v>1</v>
      </c>
      <c r="B2" s="2" t="s">
        <v>183</v>
      </c>
      <c r="C2" s="2" t="s">
        <v>193</v>
      </c>
      <c r="D2" s="2" t="s">
        <v>4</v>
      </c>
      <c r="E2" s="2"/>
      <c r="F2" s="2">
        <v>20</v>
      </c>
      <c r="G2" s="2"/>
      <c r="H2" s="2">
        <v>7.11</v>
      </c>
      <c r="I2" s="3">
        <v>100</v>
      </c>
      <c r="J2" s="3">
        <v>0.13</v>
      </c>
      <c r="K2" s="3">
        <v>1</v>
      </c>
      <c r="L2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" s="3">
        <f>1000000/1000/9.81/IF(Table1[[#This Row],[Dam height (m)]]="",10,Table1[[#This Row],[Dam height (m)]])*3600</f>
        <v>18348.623853211007</v>
      </c>
      <c r="N2" s="3">
        <f>(Table1[[#This Row],[Reservoir area (km2)]]*1000000*Table1[[#This Row],[Eo (mm/year)]]/1000)/Table1[[#This Row],[Hydroelectricity (MW)]]/8760*Table1[[#This Row],[Water consumption allocation]]/Table1[[#This Row],[CF]]</f>
        <v>142.57363343008586</v>
      </c>
      <c r="O2" s="2">
        <v>36.581879000000001</v>
      </c>
      <c r="P2" s="2">
        <v>5.5763980000000002</v>
      </c>
      <c r="Q2" s="12">
        <v>800</v>
      </c>
      <c r="R2" s="12">
        <v>17.399999999999999</v>
      </c>
      <c r="S2" s="12">
        <f>23.8-12.1</f>
        <v>11.700000000000001</v>
      </c>
      <c r="T2" s="12">
        <f t="shared" ref="T2:T8" si="0">26.9-9.2</f>
        <v>17.7</v>
      </c>
      <c r="U2" s="12">
        <f>Table1[[#This Row],[Average temperature (°C)]]+0.006*Table1[[#This Row],[Average Country Elevation]]</f>
        <v>22.2</v>
      </c>
      <c r="V2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2" s="14">
        <f>(700*Table1[[#This Row],[Tm]]/(100-Table1[[#This Row],[Decimal degree latitude]])+15*Table1[[#This Row],[T-Td]])/(80-Table1[[#This Row],[Average temperature (°C)]])*365</f>
        <v>2283.5844409308265</v>
      </c>
      <c r="X2" s="13" t="s">
        <v>390</v>
      </c>
    </row>
    <row r="3" spans="1:24" x14ac:dyDescent="0.25">
      <c r="A3" s="2" t="s">
        <v>1</v>
      </c>
      <c r="B3" s="2" t="s">
        <v>181</v>
      </c>
      <c r="C3" s="2" t="s">
        <v>16</v>
      </c>
      <c r="D3" s="2" t="s">
        <v>4</v>
      </c>
      <c r="E3" s="2"/>
      <c r="F3" s="2">
        <v>10</v>
      </c>
      <c r="G3" s="2"/>
      <c r="H3" s="2"/>
      <c r="I3" s="3">
        <v>71.5</v>
      </c>
      <c r="J3" s="3">
        <v>0.13</v>
      </c>
      <c r="K3" s="3">
        <v>1</v>
      </c>
      <c r="L3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" s="3">
        <f>1000000/1000/9.81/IF(Table1[[#This Row],[Dam height (m)]]="",10,Table1[[#This Row],[Dam height (m)]])*3600</f>
        <v>36697.247706422015</v>
      </c>
      <c r="N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3" s="2">
        <v>36.555312999999998</v>
      </c>
      <c r="P3" s="2">
        <v>5.3293229999999996</v>
      </c>
      <c r="Q3" s="12">
        <v>800</v>
      </c>
      <c r="R3" s="12">
        <v>17.399999999999999</v>
      </c>
      <c r="S3" s="12">
        <f t="shared" ref="S3:S8" si="1">23.8-12.1</f>
        <v>11.700000000000001</v>
      </c>
      <c r="T3" s="12">
        <f t="shared" si="0"/>
        <v>17.7</v>
      </c>
      <c r="U3" s="12">
        <f>Table1[[#This Row],[Average temperature (°C)]]+0.006*Table1[[#This Row],[Average Country Elevation]]</f>
        <v>22.2</v>
      </c>
      <c r="V3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3" s="14">
        <f>(700*Table1[[#This Row],[Tm]]/(100-Table1[[#This Row],[Decimal degree latitude]])+15*Table1[[#This Row],[T-Td]])/(80-Table1[[#This Row],[Average temperature (°C)]])*365</f>
        <v>2282.9861849009767</v>
      </c>
      <c r="X3" t="s">
        <v>396</v>
      </c>
    </row>
    <row r="4" spans="1:24" x14ac:dyDescent="0.25">
      <c r="A4" s="2" t="s">
        <v>1</v>
      </c>
      <c r="B4" s="2" t="s">
        <v>15</v>
      </c>
      <c r="C4" s="2" t="s">
        <v>16</v>
      </c>
      <c r="D4" s="2" t="s">
        <v>4</v>
      </c>
      <c r="E4" s="2">
        <v>1954</v>
      </c>
      <c r="F4" s="2">
        <v>76</v>
      </c>
      <c r="G4" s="2">
        <v>160</v>
      </c>
      <c r="H4" s="2">
        <v>1.94</v>
      </c>
      <c r="I4" s="2">
        <v>24</v>
      </c>
      <c r="J4" s="3">
        <v>0.13</v>
      </c>
      <c r="K4" s="2">
        <v>1</v>
      </c>
      <c r="L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" s="2">
        <f>1000000/1000/9.81/IF(Table1[[#This Row],[Dam height (m)]]="",10,Table1[[#This Row],[Dam height (m)]])*3600</f>
        <v>4828.5852245292126</v>
      </c>
      <c r="N4" s="3">
        <f>(Table1[[#This Row],[Reservoir area (km2)]]*1000000*Table1[[#This Row],[Eo (mm/year)]]/1000)/Table1[[#This Row],[Hydroelectricity (MW)]]/8760*Table1[[#This Row],[Water consumption allocation]]/Table1[[#This Row],[CF]]</f>
        <v>161.91905168055106</v>
      </c>
      <c r="O4" s="2">
        <v>36.473888888888894</v>
      </c>
      <c r="P4" s="2">
        <v>5.2719444444444443</v>
      </c>
      <c r="Q4" s="12">
        <v>800</v>
      </c>
      <c r="R4" s="12">
        <v>17.399999999999999</v>
      </c>
      <c r="S4" s="12">
        <f t="shared" si="1"/>
        <v>11.700000000000001</v>
      </c>
      <c r="T4" s="12">
        <f t="shared" si="0"/>
        <v>17.7</v>
      </c>
      <c r="U4" s="12">
        <f>Table1[[#This Row],[Average temperature (°C)]]+0.006*Table1[[#This Row],[Average Country Elevation]]</f>
        <v>22.2</v>
      </c>
      <c r="V4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4" s="14">
        <f>(700*Table1[[#This Row],[Tm]]/(100-Table1[[#This Row],[Decimal degree latitude]])+15*Table1[[#This Row],[T-Td]])/(80-Table1[[#This Row],[Average temperature (°C)]])*365</f>
        <v>2281.1556625213802</v>
      </c>
    </row>
    <row r="5" spans="1:24" x14ac:dyDescent="0.25">
      <c r="A5" s="2" t="s">
        <v>1</v>
      </c>
      <c r="B5" s="2" t="s">
        <v>184</v>
      </c>
      <c r="C5" s="2" t="s">
        <v>194</v>
      </c>
      <c r="D5" s="2" t="s">
        <v>4</v>
      </c>
      <c r="E5" s="2"/>
      <c r="F5" s="2">
        <v>89</v>
      </c>
      <c r="G5" s="2">
        <v>225</v>
      </c>
      <c r="H5" s="2">
        <v>5.3</v>
      </c>
      <c r="I5" s="3">
        <v>15.600000000000001</v>
      </c>
      <c r="J5" s="3">
        <v>0.13</v>
      </c>
      <c r="K5" s="3">
        <v>3</v>
      </c>
      <c r="L5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5" s="3">
        <f>1000000/1000/9.81/IF(Table1[[#This Row],[Dam height (m)]]="",10,Table1[[#This Row],[Dam height (m)]])*3600</f>
        <v>4123.2862591485418</v>
      </c>
      <c r="N5" s="3">
        <f>(Table1[[#This Row],[Reservoir area (km2)]]*1000000*Table1[[#This Row],[Eo (mm/year)]]/1000)/Table1[[#This Row],[Hydroelectricity (MW)]]/8760*Table1[[#This Row],[Water consumption allocation]]/Table1[[#This Row],[CF]]</f>
        <v>115.88676653667689</v>
      </c>
      <c r="O5" s="2">
        <v>36.045910999999997</v>
      </c>
      <c r="P5" s="2">
        <v>1.6113999999999999</v>
      </c>
      <c r="Q5" s="12">
        <v>800</v>
      </c>
      <c r="R5" s="12">
        <v>17.399999999999999</v>
      </c>
      <c r="S5" s="12">
        <f t="shared" si="1"/>
        <v>11.700000000000001</v>
      </c>
      <c r="T5" s="12">
        <f t="shared" si="0"/>
        <v>17.7</v>
      </c>
      <c r="U5" s="12">
        <f>Table1[[#This Row],[Average temperature (°C)]]+0.006*Table1[[#This Row],[Average Country Elevation]]</f>
        <v>22.2</v>
      </c>
      <c r="V5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5" s="14">
        <f>(700*Table1[[#This Row],[Tm]]/(100-Table1[[#This Row],[Decimal degree latitude]])+15*Table1[[#This Row],[T-Td]])/(80-Table1[[#This Row],[Average temperature (°C)]])*365</f>
        <v>2271.6107865151662</v>
      </c>
    </row>
    <row r="6" spans="1:24" x14ac:dyDescent="0.25">
      <c r="A6" s="2" t="s">
        <v>1</v>
      </c>
      <c r="B6" s="2" t="s">
        <v>2</v>
      </c>
      <c r="C6" s="2" t="s">
        <v>3</v>
      </c>
      <c r="D6" s="2" t="s">
        <v>4</v>
      </c>
      <c r="E6" s="2">
        <v>1963</v>
      </c>
      <c r="F6" s="2">
        <v>82</v>
      </c>
      <c r="G6" s="2">
        <v>200</v>
      </c>
      <c r="H6" s="2">
        <f>Table1[[#This Row],[Reservoir capacity (million m3)]]/Table1[[#This Row],[Dam height (m)]]*2</f>
        <v>4.8780487804878048</v>
      </c>
      <c r="I6" s="2">
        <v>14.4</v>
      </c>
      <c r="J6" s="3">
        <v>0.13</v>
      </c>
      <c r="K6" s="2">
        <v>1</v>
      </c>
      <c r="L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" s="2">
        <f>1000000/1000/9.81/IF(Table1[[#This Row],[Dam height (m)]]="",10,Table1[[#This Row],[Dam height (m)]])*3600</f>
        <v>4475.2741105392697</v>
      </c>
      <c r="N6" s="3">
        <f>(Table1[[#This Row],[Reservoir area (km2)]]*1000000*Table1[[#This Row],[Eo (mm/year)]]/1000)/Table1[[#This Row],[Hydroelectricity (MW)]]/8760*Table1[[#This Row],[Water consumption allocation]]/Table1[[#This Row],[CF]]</f>
        <v>679.28894857131377</v>
      </c>
      <c r="O6" s="2">
        <v>36.582178999999996</v>
      </c>
      <c r="P6" s="2">
        <v>5.5843400000000001</v>
      </c>
      <c r="Q6" s="12">
        <v>800</v>
      </c>
      <c r="R6" s="12">
        <v>17.399999999999999</v>
      </c>
      <c r="S6" s="12">
        <f t="shared" si="1"/>
        <v>11.700000000000001</v>
      </c>
      <c r="T6" s="12">
        <f t="shared" si="0"/>
        <v>17.7</v>
      </c>
      <c r="U6" s="12">
        <f>Table1[[#This Row],[Average temperature (°C)]]+0.006*Table1[[#This Row],[Average Country Elevation]]</f>
        <v>22.2</v>
      </c>
      <c r="V6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6" s="14">
        <f>(700*Table1[[#This Row],[Tm]]/(100-Table1[[#This Row],[Decimal degree latitude]])+15*Table1[[#This Row],[T-Td]])/(80-Table1[[#This Row],[Average temperature (°C)]])*365</f>
        <v>2283.5911996766517</v>
      </c>
    </row>
    <row r="7" spans="1:24" x14ac:dyDescent="0.25">
      <c r="A7" s="2" t="s">
        <v>1</v>
      </c>
      <c r="B7" s="2" t="s">
        <v>182</v>
      </c>
      <c r="C7" s="2" t="s">
        <v>192</v>
      </c>
      <c r="D7" s="2" t="s">
        <v>4</v>
      </c>
      <c r="E7" s="2"/>
      <c r="F7" s="2">
        <v>100</v>
      </c>
      <c r="G7" s="2">
        <v>450</v>
      </c>
      <c r="H7" s="2">
        <v>18.16</v>
      </c>
      <c r="I7" s="3">
        <v>7</v>
      </c>
      <c r="J7" s="3">
        <v>0.13</v>
      </c>
      <c r="K7" s="3">
        <v>3</v>
      </c>
      <c r="L7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7" s="3">
        <f>1000000/1000/9.81/IF(Table1[[#This Row],[Dam height (m)]]="",10,Table1[[#This Row],[Dam height (m)]])*3600</f>
        <v>3669.7247706422017</v>
      </c>
      <c r="N7" s="3">
        <f>(Table1[[#This Row],[Reservoir area (km2)]]*1000000*Table1[[#This Row],[Eo (mm/year)]]/1000)/Table1[[#This Row],[Hydroelectricity (MW)]]/8760*Table1[[#This Row],[Water consumption allocation]]/Table1[[#This Row],[CF]]</f>
        <v>884.18783959790881</v>
      </c>
      <c r="O7" s="2">
        <v>35.961817000000003</v>
      </c>
      <c r="P7" s="2">
        <v>0.96160299999999999</v>
      </c>
      <c r="Q7" s="12">
        <v>800</v>
      </c>
      <c r="R7" s="12">
        <v>17.399999999999999</v>
      </c>
      <c r="S7" s="12">
        <f t="shared" si="1"/>
        <v>11.700000000000001</v>
      </c>
      <c r="T7" s="12">
        <f t="shared" si="0"/>
        <v>17.7</v>
      </c>
      <c r="U7" s="12">
        <f>Table1[[#This Row],[Average temperature (°C)]]+0.006*Table1[[#This Row],[Average Country Elevation]]</f>
        <v>22.2</v>
      </c>
      <c r="V7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7" s="14">
        <f>(700*Table1[[#This Row],[Tm]]/(100-Table1[[#This Row],[Decimal degree latitude]])+15*Table1[[#This Row],[T-Td]])/(80-Table1[[#This Row],[Average temperature (°C)]])*365</f>
        <v>2269.7502969506563</v>
      </c>
    </row>
    <row r="8" spans="1:24" x14ac:dyDescent="0.25">
      <c r="A8" s="2" t="s">
        <v>1</v>
      </c>
      <c r="B8" s="2" t="s">
        <v>180</v>
      </c>
      <c r="C8" s="2" t="s">
        <v>191</v>
      </c>
      <c r="D8" s="2" t="s">
        <v>4</v>
      </c>
      <c r="E8" s="2"/>
      <c r="F8" s="2">
        <v>56</v>
      </c>
      <c r="G8" s="2">
        <v>73</v>
      </c>
      <c r="H8" s="2">
        <v>3.98</v>
      </c>
      <c r="I8" s="3">
        <v>5.4</v>
      </c>
      <c r="J8" s="3">
        <v>0.13</v>
      </c>
      <c r="K8" s="3">
        <v>3</v>
      </c>
      <c r="L8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8" s="3">
        <f>1000000/1000/9.81/IF(Table1[[#This Row],[Dam height (m)]]="",10,Table1[[#This Row],[Dam height (m)]])*3600</f>
        <v>6553.0799475753602</v>
      </c>
      <c r="N8" s="3">
        <f>(Table1[[#This Row],[Reservoir area (km2)]]*1000000*Table1[[#This Row],[Eo (mm/year)]]/1000)/Table1[[#This Row],[Hydroelectricity (MW)]]/8760*Table1[[#This Row],[Water consumption allocation]]/Table1[[#This Row],[CF]]</f>
        <v>249.54599353104197</v>
      </c>
      <c r="O8" s="2">
        <v>35.279057000000002</v>
      </c>
      <c r="P8" s="2">
        <v>-6.0740000000000002E-2</v>
      </c>
      <c r="Q8" s="12">
        <v>800</v>
      </c>
      <c r="R8" s="12">
        <v>17.399999999999999</v>
      </c>
      <c r="S8" s="12">
        <f t="shared" si="1"/>
        <v>11.700000000000001</v>
      </c>
      <c r="T8" s="12">
        <f t="shared" si="0"/>
        <v>17.7</v>
      </c>
      <c r="U8" s="12">
        <f>Table1[[#This Row],[Average temperature (°C)]]+0.006*Table1[[#This Row],[Average Country Elevation]]</f>
        <v>22.2</v>
      </c>
      <c r="V8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W8" s="14">
        <f>(700*Table1[[#This Row],[Tm]]/(100-Table1[[#This Row],[Decimal degree latitude]])+15*Table1[[#This Row],[T-Td]])/(80-Table1[[#This Row],[Average temperature (°C)]])*365</f>
        <v>2254.8239415484045</v>
      </c>
    </row>
    <row r="9" spans="1:24" x14ac:dyDescent="0.25">
      <c r="A9" s="2" t="s">
        <v>17</v>
      </c>
      <c r="B9" s="2" t="s">
        <v>347</v>
      </c>
      <c r="C9" s="2" t="s">
        <v>195</v>
      </c>
      <c r="D9" s="2" t="s">
        <v>34</v>
      </c>
      <c r="E9" s="2">
        <v>2018</v>
      </c>
      <c r="F9" s="2">
        <v>132</v>
      </c>
      <c r="G9" s="2">
        <v>5482</v>
      </c>
      <c r="H9" s="2">
        <v>188</v>
      </c>
      <c r="I9" s="2">
        <f>1040</f>
        <v>1040</v>
      </c>
      <c r="J9" s="2">
        <v>0.3</v>
      </c>
      <c r="K9" s="2">
        <v>1</v>
      </c>
      <c r="L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" s="2">
        <f>1000000/1000/9.81/IF(Table1[[#This Row],[Dam height (m)]]="",10,Table1[[#This Row],[Dam height (m)]])*3600</f>
        <v>2780.0945232137892</v>
      </c>
      <c r="N9" s="3">
        <f>(Table1[[#This Row],[Reservoir area (km2)]]*1000000*Table1[[#This Row],[Eo (mm/year)]]/1000)/Table1[[#This Row],[Hydroelectricity (MW)]]/8760*Table1[[#This Row],[Water consumption allocation]]/Table1[[#This Row],[CF]]</f>
        <v>116.19700572212045</v>
      </c>
      <c r="O9" s="2">
        <v>-9.7394440000000007</v>
      </c>
      <c r="P9" s="2">
        <v>15.125833</v>
      </c>
      <c r="Q9" s="12">
        <v>1112</v>
      </c>
      <c r="R9" s="12">
        <v>21.2</v>
      </c>
      <c r="S9" s="12">
        <f>27.6-17.5</f>
        <v>10.100000000000001</v>
      </c>
      <c r="T9" s="12">
        <f>22.3-18.2</f>
        <v>4.1000000000000014</v>
      </c>
      <c r="U9" s="12">
        <f>Table1[[#This Row],[Average temperature (°C)]]+0.006*Table1[[#This Row],[Average Country Elevation]]</f>
        <v>27.872</v>
      </c>
      <c r="V9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9" s="14">
        <f>(700*Table1[[#This Row],[Tm]]/(100-Table1[[#This Row],[Decimal degree latitude]])+15*Table1[[#This Row],[T-Td]])/(80-Table1[[#This Row],[Average temperature (°C)]])*365</f>
        <v>1689.2572355278819</v>
      </c>
    </row>
    <row r="10" spans="1:24" x14ac:dyDescent="0.25">
      <c r="A10" s="2" t="s">
        <v>17</v>
      </c>
      <c r="B10" s="2" t="s">
        <v>33</v>
      </c>
      <c r="C10" s="2" t="s">
        <v>195</v>
      </c>
      <c r="D10" s="2" t="s">
        <v>34</v>
      </c>
      <c r="E10" s="2">
        <v>1963</v>
      </c>
      <c r="F10" s="2">
        <v>68</v>
      </c>
      <c r="G10" s="2">
        <v>20</v>
      </c>
      <c r="H10" s="2">
        <v>5.0199999999999996</v>
      </c>
      <c r="I10" s="2">
        <v>610</v>
      </c>
      <c r="J10" s="2">
        <v>0.3</v>
      </c>
      <c r="K10" s="2">
        <v>1</v>
      </c>
      <c r="L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" s="2">
        <f>1000000/1000/9.81/IF(Table1[[#This Row],[Dam height (m)]]="",10,Table1[[#This Row],[Dam height (m)]])*3600</f>
        <v>5396.6540744738259</v>
      </c>
      <c r="N10" s="3">
        <f>(Table1[[#This Row],[Reservoir area (km2)]]*1000000*Table1[[#This Row],[Eo (mm/year)]]/1000)/Table1[[#This Row],[Hydroelectricity (MW)]]/8760*Table1[[#This Row],[Water consumption allocation]]/Table1[[#This Row],[CF]]</f>
        <v>5.2894592238302121</v>
      </c>
      <c r="O10" s="2">
        <v>-9.7522222222222226</v>
      </c>
      <c r="P10" s="2">
        <v>14.480833333333333</v>
      </c>
      <c r="Q10" s="12">
        <v>1112</v>
      </c>
      <c r="R10" s="12">
        <v>21.2</v>
      </c>
      <c r="S10" s="12">
        <f t="shared" ref="S10:S18" si="2">27.6-17.5</f>
        <v>10.100000000000001</v>
      </c>
      <c r="T10" s="12">
        <f t="shared" ref="T10:T18" si="3">22.3-18.2</f>
        <v>4.1000000000000014</v>
      </c>
      <c r="U10" s="12">
        <f>Table1[[#This Row],[Average temperature (°C)]]+0.006*Table1[[#This Row],[Average Country Elevation]]</f>
        <v>27.872</v>
      </c>
      <c r="V10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0" s="14">
        <f>(700*Table1[[#This Row],[Tm]]/(100-Table1[[#This Row],[Decimal degree latitude]])+15*Table1[[#This Row],[T-Td]])/(80-Table1[[#This Row],[Average temperature (°C)]])*365</f>
        <v>1689.1287435334134</v>
      </c>
    </row>
    <row r="11" spans="1:24" x14ac:dyDescent="0.25">
      <c r="A11" s="2" t="s">
        <v>17</v>
      </c>
      <c r="B11" s="2" t="s">
        <v>35</v>
      </c>
      <c r="C11" s="2" t="s">
        <v>195</v>
      </c>
      <c r="D11" s="2" t="s">
        <v>34</v>
      </c>
      <c r="E11" s="2">
        <v>2004</v>
      </c>
      <c r="F11" s="2">
        <v>110</v>
      </c>
      <c r="G11" s="2">
        <v>4975</v>
      </c>
      <c r="H11" s="2">
        <v>169.5</v>
      </c>
      <c r="I11" s="2">
        <v>520</v>
      </c>
      <c r="J11" s="2">
        <v>0.3</v>
      </c>
      <c r="K11" s="2">
        <v>1</v>
      </c>
      <c r="L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1" s="2">
        <f>1000000/1000/9.81/IF(Table1[[#This Row],[Dam height (m)]]="",10,Table1[[#This Row],[Dam height (m)]])*3600</f>
        <v>3336.1134278565469</v>
      </c>
      <c r="N11" s="3">
        <f>(Table1[[#This Row],[Reservoir area (km2)]]*1000000*Table1[[#This Row],[Eo (mm/year)]]/1000)/Table1[[#This Row],[Hydroelectricity (MW)]]/8760*Table1[[#This Row],[Water consumption allocation]]/Table1[[#This Row],[CF]]</f>
        <v>209.45774534067874</v>
      </c>
      <c r="O11" s="2">
        <v>-9.7937499999999993</v>
      </c>
      <c r="P11" s="2">
        <v>15.469167000000001</v>
      </c>
      <c r="Q11" s="12">
        <v>1112</v>
      </c>
      <c r="R11" s="12">
        <v>21.2</v>
      </c>
      <c r="S11" s="12">
        <f t="shared" si="2"/>
        <v>10.100000000000001</v>
      </c>
      <c r="T11" s="12">
        <f t="shared" si="3"/>
        <v>4.1000000000000014</v>
      </c>
      <c r="U11" s="12">
        <f>Table1[[#This Row],[Average temperature (°C)]]+0.006*Table1[[#This Row],[Average Country Elevation]]</f>
        <v>27.872</v>
      </c>
      <c r="V11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1" s="14">
        <f>(700*Table1[[#This Row],[Tm]]/(100-Table1[[#This Row],[Decimal degree latitude]])+15*Table1[[#This Row],[T-Td]])/(80-Table1[[#This Row],[Average temperature (°C)]])*365</f>
        <v>1688.7113656209908</v>
      </c>
    </row>
    <row r="12" spans="1:24" x14ac:dyDescent="0.25">
      <c r="A12" s="2" t="s">
        <v>17</v>
      </c>
      <c r="B12" s="2" t="s">
        <v>42</v>
      </c>
      <c r="C12" s="2" t="s">
        <v>196</v>
      </c>
      <c r="D12" s="2" t="s">
        <v>34</v>
      </c>
      <c r="E12" s="2">
        <v>1964</v>
      </c>
      <c r="F12" s="2">
        <v>30</v>
      </c>
      <c r="G12" s="2">
        <v>0.7</v>
      </c>
      <c r="H12" s="2">
        <v>0.28999999999999998</v>
      </c>
      <c r="I12" s="2">
        <v>65</v>
      </c>
      <c r="J12" s="2">
        <v>0.3</v>
      </c>
      <c r="K12" s="2">
        <v>1</v>
      </c>
      <c r="L1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2" s="2">
        <f>1000000/1000/9.81/IF(Table1[[#This Row],[Dam height (m)]]="",10,Table1[[#This Row],[Dam height (m)]])*3600</f>
        <v>12232.415902140672</v>
      </c>
      <c r="N12" s="3">
        <f>(Table1[[#This Row],[Reservoir area (km2)]]*1000000*Table1[[#This Row],[Eo (mm/year)]]/1000)/Table1[[#This Row],[Hydroelectricity (MW)]]/8760*Table1[[#This Row],[Water consumption allocation]]/Table1[[#This Row],[CF]]</f>
        <v>2.8180831394863675</v>
      </c>
      <c r="O12" s="2">
        <v>-12.733333333333333</v>
      </c>
      <c r="P12" s="2">
        <v>14.45</v>
      </c>
      <c r="Q12" s="12">
        <v>1112</v>
      </c>
      <c r="R12" s="12">
        <v>21.2</v>
      </c>
      <c r="S12" s="12">
        <f t="shared" si="2"/>
        <v>10.100000000000001</v>
      </c>
      <c r="T12" s="12">
        <f t="shared" si="3"/>
        <v>4.1000000000000014</v>
      </c>
      <c r="U12" s="12">
        <f>Table1[[#This Row],[Average temperature (°C)]]+0.006*Table1[[#This Row],[Average Country Elevation]]</f>
        <v>27.872</v>
      </c>
      <c r="V12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2" s="14">
        <f>(700*Table1[[#This Row],[Tm]]/(100-Table1[[#This Row],[Decimal degree latitude]])+15*Table1[[#This Row],[T-Td]])/(80-Table1[[#This Row],[Average temperature (°C)]])*365</f>
        <v>1659.9481444381422</v>
      </c>
    </row>
    <row r="13" spans="1:24" x14ac:dyDescent="0.25">
      <c r="A13" s="2" t="s">
        <v>17</v>
      </c>
      <c r="B13" s="2" t="s">
        <v>37</v>
      </c>
      <c r="C13" s="2" t="s">
        <v>173</v>
      </c>
      <c r="D13" s="2" t="s">
        <v>34</v>
      </c>
      <c r="E13" s="2">
        <v>1974</v>
      </c>
      <c r="F13" s="2">
        <v>58</v>
      </c>
      <c r="G13" s="2">
        <v>2574</v>
      </c>
      <c r="H13" s="2">
        <v>2.15</v>
      </c>
      <c r="I13" s="2">
        <v>62</v>
      </c>
      <c r="J13" s="2">
        <v>0.3</v>
      </c>
      <c r="K13" s="2">
        <v>2</v>
      </c>
      <c r="L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3" s="2">
        <f>1000000/1000/9.81/IF(Table1[[#This Row],[Dam height (m)]]="",10,Table1[[#This Row],[Dam height (m)]])*3600</f>
        <v>6327.1116735210371</v>
      </c>
      <c r="N13" s="3">
        <f>(Table1[[#This Row],[Reservoir area (km2)]]*1000000*Table1[[#This Row],[Eo (mm/year)]]/1000)/Table1[[#This Row],[Hydroelectricity (MW)]]/8760*Table1[[#This Row],[Water consumption allocation]]/Table1[[#This Row],[CF]]</f>
        <v>9.7209517654675732</v>
      </c>
      <c r="O13" s="2">
        <v>-12.809619</v>
      </c>
      <c r="P13" s="2">
        <v>15.889578999999999</v>
      </c>
      <c r="Q13" s="12">
        <v>1112</v>
      </c>
      <c r="R13" s="12">
        <v>21.2</v>
      </c>
      <c r="S13" s="12">
        <f t="shared" si="2"/>
        <v>10.100000000000001</v>
      </c>
      <c r="T13" s="12">
        <f t="shared" si="3"/>
        <v>4.1000000000000014</v>
      </c>
      <c r="U13" s="12">
        <f>Table1[[#This Row],[Average temperature (°C)]]+0.006*Table1[[#This Row],[Average Country Elevation]]</f>
        <v>27.872</v>
      </c>
      <c r="V13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3" s="14">
        <f>(700*Table1[[#This Row],[Tm]]/(100-Table1[[#This Row],[Decimal degree latitude]])+15*Table1[[#This Row],[T-Td]])/(80-Table1[[#This Row],[Average temperature (°C)]])*365</f>
        <v>1659.2216602327933</v>
      </c>
    </row>
    <row r="14" spans="1:24" x14ac:dyDescent="0.25">
      <c r="A14" s="2" t="s">
        <v>17</v>
      </c>
      <c r="B14" s="2" t="s">
        <v>36</v>
      </c>
      <c r="C14" s="2" t="s">
        <v>173</v>
      </c>
      <c r="D14" s="2" t="s">
        <v>34</v>
      </c>
      <c r="E14" s="2">
        <v>1954</v>
      </c>
      <c r="F14" s="2">
        <v>21</v>
      </c>
      <c r="G14" s="2">
        <v>78</v>
      </c>
      <c r="H14" s="2">
        <v>21.28</v>
      </c>
      <c r="I14" s="2">
        <v>40.799999999999997</v>
      </c>
      <c r="J14" s="2">
        <v>0.3</v>
      </c>
      <c r="K14" s="2">
        <v>2</v>
      </c>
      <c r="L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4" s="2">
        <f>1000000/1000/9.81/IF(Table1[[#This Row],[Dam height (m)]]="",10,Table1[[#This Row],[Dam height (m)]])*3600</f>
        <v>17474.879860200959</v>
      </c>
      <c r="N14" s="3">
        <f>(Table1[[#This Row],[Reservoir area (km2)]]*1000000*Table1[[#This Row],[Eo (mm/year)]]/1000)/Table1[[#This Row],[Hydroelectricity (MW)]]/8760*Table1[[#This Row],[Water consumption allocation]]/Table1[[#This Row],[CF]]</f>
        <v>144.61375550507623</v>
      </c>
      <c r="O14" s="2">
        <v>-14.74424</v>
      </c>
      <c r="P14" s="2">
        <v>15.041829999999999</v>
      </c>
      <c r="Q14" s="12">
        <v>1112</v>
      </c>
      <c r="R14" s="12">
        <v>21.2</v>
      </c>
      <c r="S14" s="12">
        <f t="shared" si="2"/>
        <v>10.100000000000001</v>
      </c>
      <c r="T14" s="12">
        <f t="shared" si="3"/>
        <v>4.1000000000000014</v>
      </c>
      <c r="U14" s="12">
        <f>Table1[[#This Row],[Average temperature (°C)]]+0.006*Table1[[#This Row],[Average Country Elevation]]</f>
        <v>27.872</v>
      </c>
      <c r="V14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4" s="14">
        <f>(700*Table1[[#This Row],[Tm]]/(100-Table1[[#This Row],[Decimal degree latitude]])+15*Table1[[#This Row],[T-Td]])/(80-Table1[[#This Row],[Average temperature (°C)]])*365</f>
        <v>1641.1207429752046</v>
      </c>
    </row>
    <row r="15" spans="1:24" x14ac:dyDescent="0.25">
      <c r="A15" s="2" t="s">
        <v>17</v>
      </c>
      <c r="B15" s="2" t="s">
        <v>38</v>
      </c>
      <c r="C15" s="2" t="s">
        <v>197</v>
      </c>
      <c r="D15" s="2" t="s">
        <v>34</v>
      </c>
      <c r="E15" s="2">
        <v>1954</v>
      </c>
      <c r="F15" s="2">
        <v>38</v>
      </c>
      <c r="G15" s="2">
        <v>61.7</v>
      </c>
      <c r="H15" s="2">
        <v>2.46</v>
      </c>
      <c r="I15" s="2">
        <v>27</v>
      </c>
      <c r="J15" s="2">
        <v>0.3</v>
      </c>
      <c r="K15" s="2">
        <v>1</v>
      </c>
      <c r="L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" s="2">
        <f>1000000/1000/9.81/IF(Table1[[#This Row],[Dam height (m)]]="",10,Table1[[#This Row],[Dam height (m)]])*3600</f>
        <v>9657.1704490584252</v>
      </c>
      <c r="N15" s="3">
        <f>(Table1[[#This Row],[Reservoir area (km2)]]*1000000*Table1[[#This Row],[Eo (mm/year)]]/1000)/Table1[[#This Row],[Hydroelectricity (MW)]]/8760*Table1[[#This Row],[Water consumption allocation]]/Table1[[#This Row],[CF]]</f>
        <v>58.990008193224206</v>
      </c>
      <c r="O15" s="2">
        <v>-8.5352300000000003</v>
      </c>
      <c r="P15" s="2">
        <v>13.700089999999999</v>
      </c>
      <c r="Q15" s="12">
        <v>1112</v>
      </c>
      <c r="R15" s="12">
        <v>21.2</v>
      </c>
      <c r="S15" s="12">
        <f t="shared" si="2"/>
        <v>10.100000000000001</v>
      </c>
      <c r="T15" s="12">
        <f t="shared" si="3"/>
        <v>4.1000000000000014</v>
      </c>
      <c r="U15" s="12">
        <f>Table1[[#This Row],[Average temperature (°C)]]+0.006*Table1[[#This Row],[Average Country Elevation]]</f>
        <v>27.872</v>
      </c>
      <c r="V15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5" s="14">
        <f>(700*Table1[[#This Row],[Tm]]/(100-Table1[[#This Row],[Decimal degree latitude]])+15*Table1[[#This Row],[T-Td]])/(80-Table1[[#This Row],[Average temperature (°C)]])*365</f>
        <v>1701.5020412026083</v>
      </c>
    </row>
    <row r="16" spans="1:24" x14ac:dyDescent="0.25">
      <c r="A16" s="2" t="s">
        <v>17</v>
      </c>
      <c r="B16" s="2" t="s">
        <v>41</v>
      </c>
      <c r="C16" s="2" t="s">
        <v>173</v>
      </c>
      <c r="D16" s="2" t="s">
        <v>34</v>
      </c>
      <c r="E16" s="2">
        <v>2012</v>
      </c>
      <c r="F16" s="2">
        <v>18</v>
      </c>
      <c r="G16" s="2">
        <f>200000/1000000</f>
        <v>0.2</v>
      </c>
      <c r="H16" s="2">
        <f>Table1[[#This Row],[Reservoir capacity (million m3)]]/Table1[[#This Row],[Dam height (m)]]*2</f>
        <v>2.2222222222222223E-2</v>
      </c>
      <c r="I16" s="2">
        <v>20</v>
      </c>
      <c r="J16" s="2">
        <v>0.3</v>
      </c>
      <c r="K16" s="2">
        <v>1</v>
      </c>
      <c r="L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" s="2">
        <f>1000000/1000/9.81/IF(Table1[[#This Row],[Dam height (m)]]="",10,Table1[[#This Row],[Dam height (m)]])*3600</f>
        <v>20387.35983690112</v>
      </c>
      <c r="N16" s="3">
        <f>(Table1[[#This Row],[Reservoir area (km2)]]*1000000*Table1[[#This Row],[Eo (mm/year)]]/1000)/Table1[[#This Row],[Hydroelectricity (MW)]]/8760*Table1[[#This Row],[Water consumption allocation]]/Table1[[#This Row],[CF]]</f>
        <v>0.68423958619706027</v>
      </c>
      <c r="O16" s="2">
        <v>-17.272760999999999</v>
      </c>
      <c r="P16" s="2">
        <v>14.544926</v>
      </c>
      <c r="Q16" s="12">
        <v>1112</v>
      </c>
      <c r="R16" s="12">
        <v>21.2</v>
      </c>
      <c r="S16" s="12">
        <f t="shared" si="2"/>
        <v>10.100000000000001</v>
      </c>
      <c r="T16" s="12">
        <f t="shared" si="3"/>
        <v>4.1000000000000014</v>
      </c>
      <c r="U16" s="12">
        <f>Table1[[#This Row],[Average temperature (°C)]]+0.006*Table1[[#This Row],[Average Country Elevation]]</f>
        <v>27.872</v>
      </c>
      <c r="V16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6" s="14">
        <f>(700*Table1[[#This Row],[Tm]]/(100-Table1[[#This Row],[Decimal degree latitude]])+15*Table1[[#This Row],[T-Td]])/(80-Table1[[#This Row],[Average temperature (°C)]])*365</f>
        <v>1618.3634692732869</v>
      </c>
    </row>
    <row r="17" spans="1:23" x14ac:dyDescent="0.25">
      <c r="A17" s="2" t="s">
        <v>17</v>
      </c>
      <c r="B17" s="2" t="s">
        <v>185</v>
      </c>
      <c r="C17" s="2" t="s">
        <v>198</v>
      </c>
      <c r="D17" s="2" t="s">
        <v>34</v>
      </c>
      <c r="E17" s="2">
        <v>1988</v>
      </c>
      <c r="F17" s="2">
        <v>16</v>
      </c>
      <c r="G17" s="2"/>
      <c r="H17" s="2">
        <v>0.23</v>
      </c>
      <c r="I17" s="2">
        <v>16</v>
      </c>
      <c r="J17" s="2">
        <v>0.3</v>
      </c>
      <c r="K17" s="2">
        <v>1</v>
      </c>
      <c r="L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" s="2">
        <f>1000000/1000/9.81/IF(Table1[[#This Row],[Dam height (m)]]="",10,Table1[[#This Row],[Dam height (m)]])*3600</f>
        <v>22935.779816513761</v>
      </c>
      <c r="N17" s="3">
        <f>(Table1[[#This Row],[Reservoir area (km2)]]*1000000*Table1[[#This Row],[Eo (mm/year)]]/1000)/Table1[[#This Row],[Hydroelectricity (MW)]]/8760*Table1[[#This Row],[Water consumption allocation]]/Table1[[#This Row],[CF]]</f>
        <v>9.2541240598512822</v>
      </c>
      <c r="O17" s="2">
        <v>-9.485716</v>
      </c>
      <c r="P17" s="2">
        <v>20.354116999999999</v>
      </c>
      <c r="Q17" s="12">
        <v>1112</v>
      </c>
      <c r="R17" s="12">
        <v>21.2</v>
      </c>
      <c r="S17" s="12">
        <f t="shared" si="2"/>
        <v>10.100000000000001</v>
      </c>
      <c r="T17" s="12">
        <f t="shared" si="3"/>
        <v>4.1000000000000014</v>
      </c>
      <c r="U17" s="12">
        <f>Table1[[#This Row],[Average temperature (°C)]]+0.006*Table1[[#This Row],[Average Country Elevation]]</f>
        <v>27.872</v>
      </c>
      <c r="V17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7" s="14">
        <f>(700*Table1[[#This Row],[Tm]]/(100-Table1[[#This Row],[Decimal degree latitude]])+15*Table1[[#This Row],[T-Td]])/(80-Table1[[#This Row],[Average temperature (°C)]])*365</f>
        <v>1691.8148194288117</v>
      </c>
    </row>
    <row r="18" spans="1:23" x14ac:dyDescent="0.25">
      <c r="A18" s="2" t="s">
        <v>17</v>
      </c>
      <c r="B18" s="2" t="s">
        <v>39</v>
      </c>
      <c r="C18" s="2" t="s">
        <v>40</v>
      </c>
      <c r="D18" s="2" t="s">
        <v>34</v>
      </c>
      <c r="E18" s="2">
        <v>1956</v>
      </c>
      <c r="F18" s="2">
        <v>20</v>
      </c>
      <c r="G18" s="2">
        <v>2.2000000000000002</v>
      </c>
      <c r="H18" s="2">
        <v>0.09</v>
      </c>
      <c r="I18" s="2">
        <v>14</v>
      </c>
      <c r="J18" s="2">
        <v>0.3</v>
      </c>
      <c r="K18" s="2">
        <v>1</v>
      </c>
      <c r="L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" s="2">
        <f>1000000/1000/9.81/IF(Table1[[#This Row],[Dam height (m)]]="",10,Table1[[#This Row],[Dam height (m)]])*3600</f>
        <v>18348.623853211007</v>
      </c>
      <c r="N18" s="3">
        <f>(Table1[[#This Row],[Reservoir area (km2)]]*1000000*Table1[[#This Row],[Eo (mm/year)]]/1000)/Table1[[#This Row],[Hydroelectricity (MW)]]/8760*Table1[[#This Row],[Water consumption allocation]]/Table1[[#This Row],[CF]]</f>
        <v>4.0666750826068103</v>
      </c>
      <c r="O18" s="2">
        <v>-12.470701999999999</v>
      </c>
      <c r="P18" s="2">
        <v>13.731407000000001</v>
      </c>
      <c r="Q18" s="12">
        <v>1112</v>
      </c>
      <c r="R18" s="12">
        <v>21.2</v>
      </c>
      <c r="S18" s="12">
        <f t="shared" si="2"/>
        <v>10.100000000000001</v>
      </c>
      <c r="T18" s="12">
        <f t="shared" si="3"/>
        <v>4.1000000000000014</v>
      </c>
      <c r="U18" s="12">
        <f>Table1[[#This Row],[Average temperature (°C)]]+0.006*Table1[[#This Row],[Average Country Elevation]]</f>
        <v>27.872</v>
      </c>
      <c r="V18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W18" s="14">
        <f>(700*Table1[[#This Row],[Tm]]/(100-Table1[[#This Row],[Decimal degree latitude]])+15*Table1[[#This Row],[T-Td]])/(80-Table1[[#This Row],[Average temperature (°C)]])*365</f>
        <v>1662.4567737696636</v>
      </c>
    </row>
    <row r="19" spans="1:23" x14ac:dyDescent="0.25">
      <c r="A19" s="2" t="s">
        <v>229</v>
      </c>
      <c r="B19" s="2" t="s">
        <v>298</v>
      </c>
      <c r="C19" s="2"/>
      <c r="D19" s="2"/>
      <c r="E19" s="2">
        <v>1987</v>
      </c>
      <c r="F19" s="2">
        <v>52</v>
      </c>
      <c r="G19" s="2">
        <v>1710</v>
      </c>
      <c r="H19" s="2">
        <f>Table1[[#This Row],[Reservoir capacity (million m3)]]/Table1[[#This Row],[Dam height (m)]]*2</f>
        <v>65.769230769230774</v>
      </c>
      <c r="I19" s="2">
        <v>32.799999999999997</v>
      </c>
      <c r="J19" s="2">
        <v>0.45</v>
      </c>
      <c r="K19" s="2">
        <v>3</v>
      </c>
      <c r="L1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9" s="2">
        <f>1000000/1000/9.81/IF(Table1[[#This Row],[Dam height (m)]]="",10,Table1[[#This Row],[Dam height (m)]])*3600</f>
        <v>7057.1630204657722</v>
      </c>
      <c r="N19" s="3">
        <f>(Table1[[#This Row],[Reservoir area (km2)]]*1000000*Table1[[#This Row],[Eo (mm/year)]]/1000)/Table1[[#This Row],[Hydroelectricity (MW)]]/8760*Table1[[#This Row],[Water consumption allocation]]/Table1[[#This Row],[CF]]</f>
        <v>184.50523599600785</v>
      </c>
      <c r="O19" s="2">
        <v>7.4306999999999999</v>
      </c>
      <c r="P19" s="2">
        <v>1.4735</v>
      </c>
      <c r="Q19" s="12">
        <v>273</v>
      </c>
      <c r="R19" s="12">
        <v>26.9</v>
      </c>
      <c r="S19" s="12">
        <f>31.8-22.3</f>
        <v>9.5</v>
      </c>
      <c r="T19" s="12">
        <f>29.3-25.1</f>
        <v>4.1999999999999993</v>
      </c>
      <c r="U19" s="12">
        <f>Table1[[#This Row],[Average temperature (°C)]]+0.006*Table1[[#This Row],[Average Country Elevation]]</f>
        <v>28.538</v>
      </c>
      <c r="V19" s="12">
        <f>0.0023*Table1[[#This Row],[Average Country Elevation]]+0.37*Table1[[#This Row],[Average temperature (°C)]]+0.53*Table1[[#This Row],[Average Range]]+0.35*Table1[[#This Row],[Average range hot-cold]]-10.9</f>
        <v>6.1858999999999984</v>
      </c>
      <c r="W19" s="14">
        <f>(700*Table1[[#This Row],[Tm]]/(100-Table1[[#This Row],[Decimal degree latitude]])+15*Table1[[#This Row],[T-Td]])/(80-Table1[[#This Row],[Average temperature (°C)]])*365</f>
        <v>2121.1934928513151</v>
      </c>
    </row>
    <row r="20" spans="1:23" x14ac:dyDescent="0.25">
      <c r="A20" s="2" t="s">
        <v>230</v>
      </c>
      <c r="B20" s="2" t="s">
        <v>300</v>
      </c>
      <c r="C20" s="2" t="s">
        <v>302</v>
      </c>
      <c r="D20" s="2" t="s">
        <v>301</v>
      </c>
      <c r="E20" s="2">
        <v>1992</v>
      </c>
      <c r="F20" s="2">
        <v>50</v>
      </c>
      <c r="G20" s="2">
        <v>7000</v>
      </c>
      <c r="H20" s="2">
        <f>Table1[[#This Row],[Reservoir capacity (million m3)]]/Table1[[#This Row],[Dam height (m)]]*2</f>
        <v>280</v>
      </c>
      <c r="I20" s="2">
        <v>16</v>
      </c>
      <c r="J20" s="2">
        <v>0.36</v>
      </c>
      <c r="K20" s="2">
        <v>2</v>
      </c>
      <c r="L2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20" s="2">
        <f>1000000/1000/9.81/IF(Table1[[#This Row],[Dam height (m)]]="",10,Table1[[#This Row],[Dam height (m)]])*3600</f>
        <v>7339.4495412844035</v>
      </c>
      <c r="N20" s="3">
        <f>(Table1[[#This Row],[Reservoir area (km2)]]*1000000*Table1[[#This Row],[Eo (mm/year)]]/1000)/Table1[[#This Row],[Hydroelectricity (MW)]]/8760*Table1[[#This Row],[Water consumption allocation]]/Table1[[#This Row],[CF]]</f>
        <v>6452.5231644309397</v>
      </c>
      <c r="O20" s="2">
        <v>11.476883000000001</v>
      </c>
      <c r="P20" s="2">
        <v>-0.54669400000000001</v>
      </c>
      <c r="Q20" s="12">
        <v>297</v>
      </c>
      <c r="R20" s="12">
        <v>28.2</v>
      </c>
      <c r="S20" s="12">
        <f>33.6-22.1</f>
        <v>11.5</v>
      </c>
      <c r="T20" s="12">
        <f>32.4-24.8</f>
        <v>7.5999999999999979</v>
      </c>
      <c r="U20" s="12">
        <f>Table1[[#This Row],[Average temperature (°C)]]+0.006*Table1[[#This Row],[Average Country Elevation]]</f>
        <v>29.981999999999999</v>
      </c>
      <c r="V20" s="12">
        <f>0.0023*Table1[[#This Row],[Average Country Elevation]]+0.37*Table1[[#This Row],[Average temperature (°C)]]+0.53*Table1[[#This Row],[Average Range]]+0.35*Table1[[#This Row],[Average range hot-cold]]-10.9</f>
        <v>8.9720999999999993</v>
      </c>
      <c r="W20" s="14">
        <f>(700*Table1[[#This Row],[Tm]]/(100-Table1[[#This Row],[Decimal degree latitude]])+15*Table1[[#This Row],[T-Td]])/(80-Table1[[#This Row],[Average temperature (°C)]])*365</f>
        <v>2618.8773553860242</v>
      </c>
    </row>
    <row r="21" spans="1:23" x14ac:dyDescent="0.25">
      <c r="A21" s="2" t="s">
        <v>230</v>
      </c>
      <c r="B21" s="2" t="s">
        <v>303</v>
      </c>
      <c r="C21" s="2" t="s">
        <v>304</v>
      </c>
      <c r="D21" s="2" t="s">
        <v>301</v>
      </c>
      <c r="E21" s="2">
        <v>1984</v>
      </c>
      <c r="F21" s="2">
        <v>25</v>
      </c>
      <c r="G21" s="2">
        <v>2050</v>
      </c>
      <c r="H21" s="2">
        <v>175</v>
      </c>
      <c r="I21" s="2">
        <v>16</v>
      </c>
      <c r="J21" s="2">
        <v>0.36</v>
      </c>
      <c r="K21" s="2">
        <v>1</v>
      </c>
      <c r="L2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" s="2">
        <f>1000000/1000/9.81/IF(Table1[[#This Row],[Dam height (m)]]="",10,Table1[[#This Row],[Dam height (m)]])*3600</f>
        <v>14678.899082568807</v>
      </c>
      <c r="N21" s="3">
        <f>(Table1[[#This Row],[Reservoir area (km2)]]*1000000*Table1[[#This Row],[Eo (mm/year)]]/1000)/Table1[[#This Row],[Hydroelectricity (MW)]]/8760*Table1[[#This Row],[Water consumption allocation]]/Table1[[#This Row],[CF]]</f>
        <v>9121.804799210815</v>
      </c>
      <c r="O21" s="2">
        <v>12.066666666666666</v>
      </c>
      <c r="P21" s="2">
        <v>0.71666666666666667</v>
      </c>
      <c r="Q21" s="12">
        <v>297</v>
      </c>
      <c r="R21" s="12">
        <v>28.2</v>
      </c>
      <c r="S21" s="12">
        <f>33.6-22.1</f>
        <v>11.5</v>
      </c>
      <c r="T21" s="12">
        <f>32.4-24.8</f>
        <v>7.5999999999999979</v>
      </c>
      <c r="U21" s="12">
        <f>Table1[[#This Row],[Average temperature (°C)]]+0.006*Table1[[#This Row],[Average Country Elevation]]</f>
        <v>29.981999999999999</v>
      </c>
      <c r="V21" s="12">
        <f>0.0023*Table1[[#This Row],[Average Country Elevation]]+0.37*Table1[[#This Row],[Average temperature (°C)]]+0.53*Table1[[#This Row],[Average Range]]+0.35*Table1[[#This Row],[Average range hot-cold]]-10.9</f>
        <v>8.9720999999999993</v>
      </c>
      <c r="W21" s="14">
        <f>(700*Table1[[#This Row],[Tm]]/(100-Table1[[#This Row],[Decimal degree latitude]])+15*Table1[[#This Row],[T-Td]])/(80-Table1[[#This Row],[Average temperature (°C)]])*365</f>
        <v>2630.082159066626</v>
      </c>
    </row>
    <row r="22" spans="1:23" x14ac:dyDescent="0.25">
      <c r="A22" s="2" t="s">
        <v>23</v>
      </c>
      <c r="B22" s="2" t="s">
        <v>348</v>
      </c>
      <c r="C22" s="2"/>
      <c r="D22" s="2"/>
      <c r="E22" s="2">
        <v>2017</v>
      </c>
      <c r="F22" s="2"/>
      <c r="G22" s="2"/>
      <c r="H22" s="2"/>
      <c r="I22" s="2">
        <v>20</v>
      </c>
      <c r="J22" s="2">
        <v>0.21</v>
      </c>
      <c r="K22" s="2">
        <v>1</v>
      </c>
      <c r="L2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2" s="2">
        <f>1000000/1000/9.81/IF(Table1[[#This Row],[Dam height (m)]]="",10,Table1[[#This Row],[Dam height (m)]])*3600</f>
        <v>36697.247706422015</v>
      </c>
      <c r="N2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2" s="2">
        <v>-3.9159999999999999</v>
      </c>
      <c r="P22" s="2">
        <v>29.834</v>
      </c>
      <c r="Q22" s="12">
        <v>1504</v>
      </c>
      <c r="R22" s="12">
        <v>20</v>
      </c>
      <c r="S22" s="12">
        <f>25.3-15.1</f>
        <v>10.200000000000001</v>
      </c>
      <c r="T22" s="12">
        <f>20.2-19.3</f>
        <v>0.89999999999999858</v>
      </c>
      <c r="U22" s="12">
        <f>Table1[[#This Row],[Average temperature (°C)]]+0.006*Table1[[#This Row],[Average Country Elevation]]</f>
        <v>29.024000000000001</v>
      </c>
      <c r="V22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W22" s="14">
        <f>(700*Table1[[#This Row],[Tm]]/(100-Table1[[#This Row],[Decimal degree latitude]])+15*Table1[[#This Row],[T-Td]])/(80-Table1[[#This Row],[Average temperature (°C)]])*365</f>
        <v>1707.6814536131744</v>
      </c>
    </row>
    <row r="23" spans="1:23" x14ac:dyDescent="0.25">
      <c r="A23" s="2" t="s">
        <v>23</v>
      </c>
      <c r="B23" s="2" t="s">
        <v>68</v>
      </c>
      <c r="C23" s="2" t="s">
        <v>68</v>
      </c>
      <c r="D23" s="2" t="s">
        <v>45</v>
      </c>
      <c r="E23" s="2">
        <v>1991</v>
      </c>
      <c r="F23" s="2">
        <v>5</v>
      </c>
      <c r="G23" s="2" t="s">
        <v>48</v>
      </c>
      <c r="H23" s="2">
        <v>1.53</v>
      </c>
      <c r="I23" s="2">
        <v>18</v>
      </c>
      <c r="J23" s="2">
        <v>0.21</v>
      </c>
      <c r="K23" s="2">
        <v>1</v>
      </c>
      <c r="L2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3" s="2">
        <f>1000000/1000/9.81/IF(Table1[[#This Row],[Dam height (m)]]="",10,Table1[[#This Row],[Dam height (m)]])*3600</f>
        <v>73394.495412844029</v>
      </c>
      <c r="N23" s="3">
        <f>(Table1[[#This Row],[Reservoir area (km2)]]*1000000*Table1[[#This Row],[Eo (mm/year)]]/1000)/Table1[[#This Row],[Hydroelectricity (MW)]]/8760*Table1[[#This Row],[Water consumption allocation]]/Table1[[#This Row],[CF]]</f>
        <v>79.437462018570855</v>
      </c>
      <c r="O23" s="2">
        <v>-2.9180999999999999</v>
      </c>
      <c r="P23" s="2">
        <v>29.519400000000001</v>
      </c>
      <c r="Q23" s="12">
        <v>1504</v>
      </c>
      <c r="R23" s="12">
        <v>20</v>
      </c>
      <c r="S23" s="12">
        <f t="shared" ref="S23:S25" si="4">25.3-15.1</f>
        <v>10.200000000000001</v>
      </c>
      <c r="T23" s="12">
        <f t="shared" ref="T23:T25" si="5">20.2-19.3</f>
        <v>0.89999999999999858</v>
      </c>
      <c r="U23" s="12">
        <f>Table1[[#This Row],[Average temperature (°C)]]+0.006*Table1[[#This Row],[Average Country Elevation]]</f>
        <v>29.024000000000001</v>
      </c>
      <c r="V23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W23" s="14">
        <f>(700*Table1[[#This Row],[Tm]]/(100-Table1[[#This Row],[Decimal degree latitude]])+15*Table1[[#This Row],[T-Td]])/(80-Table1[[#This Row],[Average temperature (°C)]])*365</f>
        <v>1719.2135897572114</v>
      </c>
    </row>
    <row r="24" spans="1:23" x14ac:dyDescent="0.25">
      <c r="A24" s="2" t="s">
        <v>23</v>
      </c>
      <c r="B24" s="2" t="s">
        <v>349</v>
      </c>
      <c r="C24" s="2"/>
      <c r="D24" s="2"/>
      <c r="E24" s="2">
        <v>2013</v>
      </c>
      <c r="F24" s="2"/>
      <c r="G24" s="2"/>
      <c r="H24" s="2"/>
      <c r="I24" s="2">
        <v>10</v>
      </c>
      <c r="J24" s="2">
        <v>0.21</v>
      </c>
      <c r="K24" s="2">
        <v>1</v>
      </c>
      <c r="L2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4" s="2">
        <f>1000000/1000/9.81/IF(Table1[[#This Row],[Dam height (m)]]="",10,Table1[[#This Row],[Dam height (m)]])*3600</f>
        <v>36697.247706422015</v>
      </c>
      <c r="N2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4" s="2">
        <v>-3.167554</v>
      </c>
      <c r="P24" s="2">
        <v>29.408958999999999</v>
      </c>
      <c r="Q24" s="12">
        <v>1504</v>
      </c>
      <c r="R24" s="12">
        <v>20</v>
      </c>
      <c r="S24" s="12">
        <f t="shared" si="4"/>
        <v>10.200000000000001</v>
      </c>
      <c r="T24" s="12">
        <f t="shared" si="5"/>
        <v>0.89999999999999858</v>
      </c>
      <c r="U24" s="12">
        <f>Table1[[#This Row],[Average temperature (°C)]]+0.006*Table1[[#This Row],[Average Country Elevation]]</f>
        <v>29.024000000000001</v>
      </c>
      <c r="V24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W24" s="14">
        <f>(700*Table1[[#This Row],[Tm]]/(100-Table1[[#This Row],[Decimal degree latitude]])+15*Table1[[#This Row],[T-Td]])/(80-Table1[[#This Row],[Average temperature (°C)]])*365</f>
        <v>1716.3098847213837</v>
      </c>
    </row>
    <row r="25" spans="1:23" x14ac:dyDescent="0.25">
      <c r="A25" s="2" t="s">
        <v>23</v>
      </c>
      <c r="B25" s="2" t="s">
        <v>69</v>
      </c>
      <c r="C25" s="2" t="s">
        <v>69</v>
      </c>
      <c r="D25" s="2" t="s">
        <v>45</v>
      </c>
      <c r="E25" s="2">
        <v>1982</v>
      </c>
      <c r="F25" s="2">
        <v>5</v>
      </c>
      <c r="G25" s="2"/>
      <c r="H25" s="2"/>
      <c r="I25" s="2">
        <v>8</v>
      </c>
      <c r="J25" s="2">
        <v>0.21</v>
      </c>
      <c r="K25" s="2">
        <v>1</v>
      </c>
      <c r="L2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5" s="2">
        <f>1000000/1000/9.81/IF(Table1[[#This Row],[Dam height (m)]]="",10,Table1[[#This Row],[Dam height (m)]])*3600</f>
        <v>73394.495412844029</v>
      </c>
      <c r="N2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5" s="2">
        <v>-3.4906980000000001</v>
      </c>
      <c r="P25" s="2">
        <v>29.415089999999999</v>
      </c>
      <c r="Q25" s="12">
        <v>1504</v>
      </c>
      <c r="R25" s="12">
        <v>20</v>
      </c>
      <c r="S25" s="12">
        <f t="shared" si="4"/>
        <v>10.200000000000001</v>
      </c>
      <c r="T25" s="12">
        <f t="shared" si="5"/>
        <v>0.89999999999999858</v>
      </c>
      <c r="U25" s="12">
        <f>Table1[[#This Row],[Average temperature (°C)]]+0.006*Table1[[#This Row],[Average Country Elevation]]</f>
        <v>29.024000000000001</v>
      </c>
      <c r="V25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W25" s="14">
        <f>(700*Table1[[#This Row],[Tm]]/(100-Table1[[#This Row],[Decimal degree latitude]])+15*Table1[[#This Row],[T-Td]])/(80-Table1[[#This Row],[Average temperature (°C)]])*365</f>
        <v>1712.5692218763966</v>
      </c>
    </row>
    <row r="26" spans="1:23" x14ac:dyDescent="0.25">
      <c r="A26" s="2" t="s">
        <v>18</v>
      </c>
      <c r="B26" s="2" t="s">
        <v>47</v>
      </c>
      <c r="C26" s="2" t="s">
        <v>44</v>
      </c>
      <c r="D26" s="2" t="s">
        <v>45</v>
      </c>
      <c r="E26" s="2">
        <v>1980</v>
      </c>
      <c r="F26" s="2">
        <v>35</v>
      </c>
      <c r="G26" s="2">
        <v>10</v>
      </c>
      <c r="H26" s="2">
        <v>0.94</v>
      </c>
      <c r="I26" s="2">
        <v>398</v>
      </c>
      <c r="J26" s="2">
        <v>0.69</v>
      </c>
      <c r="K26" s="2">
        <v>1</v>
      </c>
      <c r="L2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6" s="2">
        <f>1000000/1000/9.81/IF(Table1[[#This Row],[Dam height (m)]]="",10,Table1[[#This Row],[Dam height (m)]])*3600</f>
        <v>10484.927916120576</v>
      </c>
      <c r="N26" s="3">
        <f>(Table1[[#This Row],[Reservoir area (km2)]]*1000000*Table1[[#This Row],[Eo (mm/year)]]/1000)/Table1[[#This Row],[Hydroelectricity (MW)]]/8760*Table1[[#This Row],[Water consumption allocation]]/Table1[[#This Row],[CF]]</f>
        <v>0.73264862047144785</v>
      </c>
      <c r="O26" s="2">
        <v>4.083333333333333</v>
      </c>
      <c r="P26" s="2">
        <v>10.783333333333333</v>
      </c>
      <c r="Q26" s="12">
        <v>667</v>
      </c>
      <c r="R26" s="12">
        <v>23.8</v>
      </c>
      <c r="S26" s="12">
        <f>28.8-18.8</f>
        <v>10</v>
      </c>
      <c r="T26" s="12">
        <f>25.5-22.7</f>
        <v>2.8000000000000007</v>
      </c>
      <c r="U26" s="12">
        <f>Table1[[#This Row],[Average temperature (°C)]]+0.006*Table1[[#This Row],[Average Country Elevation]]</f>
        <v>27.802</v>
      </c>
      <c r="V26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W26" s="14">
        <f>(700*Table1[[#This Row],[Tm]]/(100-Table1[[#This Row],[Decimal degree latitude]])+15*Table1[[#This Row],[T-Td]])/(80-Table1[[#This Row],[Average temperature (°C)]])*365</f>
        <v>1875.0124319020131</v>
      </c>
    </row>
    <row r="27" spans="1:23" x14ac:dyDescent="0.25">
      <c r="A27" s="2" t="s">
        <v>18</v>
      </c>
      <c r="B27" s="2" t="s">
        <v>43</v>
      </c>
      <c r="C27" s="2" t="s">
        <v>44</v>
      </c>
      <c r="D27" s="2" t="s">
        <v>45</v>
      </c>
      <c r="E27" s="2">
        <v>1953</v>
      </c>
      <c r="F27" s="2">
        <v>15</v>
      </c>
      <c r="G27" s="2">
        <v>6.5730000000000004</v>
      </c>
      <c r="H27" s="2">
        <v>1.1499999999999999</v>
      </c>
      <c r="I27" s="2">
        <v>264</v>
      </c>
      <c r="J27" s="2">
        <v>0.69</v>
      </c>
      <c r="K27" s="2">
        <v>1</v>
      </c>
      <c r="L2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7" s="2">
        <f>1000000/1000/9.81/IF(Table1[[#This Row],[Dam height (m)]]="",10,Table1[[#This Row],[Dam height (m)]])*3600</f>
        <v>24464.831804281344</v>
      </c>
      <c r="N27" s="3">
        <f>(Table1[[#This Row],[Reservoir area (km2)]]*1000000*Table1[[#This Row],[Eo (mm/year)]]/1000)/Table1[[#This Row],[Hydroelectricity (MW)]]/8760*Table1[[#This Row],[Water consumption allocation]]/Table1[[#This Row],[CF]]</f>
        <v>1.3487002372005823</v>
      </c>
      <c r="O27" s="2">
        <v>3.822222222222222</v>
      </c>
      <c r="P27" s="2">
        <v>10.130555555555556</v>
      </c>
      <c r="Q27" s="12">
        <v>667</v>
      </c>
      <c r="R27" s="12">
        <v>23.8</v>
      </c>
      <c r="S27" s="12">
        <f t="shared" ref="S27:S30" si="6">28.8-18.8</f>
        <v>10</v>
      </c>
      <c r="T27" s="12">
        <f t="shared" ref="T27:T30" si="7">25.5-22.7</f>
        <v>2.8000000000000007</v>
      </c>
      <c r="U27" s="12">
        <f>Table1[[#This Row],[Average temperature (°C)]]+0.006*Table1[[#This Row],[Average Country Elevation]]</f>
        <v>27.802</v>
      </c>
      <c r="V27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W27" s="14">
        <f>(700*Table1[[#This Row],[Tm]]/(100-Table1[[#This Row],[Decimal degree latitude]])+15*Table1[[#This Row],[T-Td]])/(80-Table1[[#This Row],[Average temperature (°C)]])*365</f>
        <v>1871.4348699357324</v>
      </c>
    </row>
    <row r="28" spans="1:23" x14ac:dyDescent="0.25">
      <c r="A28" s="2" t="s">
        <v>18</v>
      </c>
      <c r="B28" s="2" t="s">
        <v>186</v>
      </c>
      <c r="C28" s="2" t="s">
        <v>199</v>
      </c>
      <c r="D28" s="2" t="s">
        <v>45</v>
      </c>
      <c r="E28" s="2"/>
      <c r="F28" s="2">
        <v>5</v>
      </c>
      <c r="G28" s="2"/>
      <c r="H28" s="2">
        <v>607.92999999999995</v>
      </c>
      <c r="I28" s="2">
        <v>80</v>
      </c>
      <c r="J28" s="2">
        <v>0.69</v>
      </c>
      <c r="K28" s="2">
        <v>2</v>
      </c>
      <c r="L2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28" s="2">
        <f>1000000/1000/9.81/IF(Table1[[#This Row],[Dam height (m)]]="",10,Table1[[#This Row],[Dam height (m)]])*3600</f>
        <v>73394.495412844029</v>
      </c>
      <c r="N28" s="3">
        <f>(Table1[[#This Row],[Reservoir area (km2)]]*1000000*Table1[[#This Row],[Eo (mm/year)]]/1000)/Table1[[#This Row],[Hydroelectricity (MW)]]/8760*Table1[[#This Row],[Water consumption allocation]]/Table1[[#This Row],[CF]]</f>
        <v>1086.8949452420941</v>
      </c>
      <c r="O28" s="2">
        <v>9.0600100000000001</v>
      </c>
      <c r="P28" s="2">
        <v>13.689565</v>
      </c>
      <c r="Q28" s="12">
        <v>667</v>
      </c>
      <c r="R28" s="12">
        <v>23.8</v>
      </c>
      <c r="S28" s="12">
        <f t="shared" si="6"/>
        <v>10</v>
      </c>
      <c r="T28" s="12">
        <f t="shared" si="7"/>
        <v>2.8000000000000007</v>
      </c>
      <c r="U28" s="12">
        <f>Table1[[#This Row],[Average temperature (°C)]]+0.006*Table1[[#This Row],[Average Country Elevation]]</f>
        <v>27.802</v>
      </c>
      <c r="V28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W28" s="14">
        <f>(700*Table1[[#This Row],[Tm]]/(100-Table1[[#This Row],[Decimal degree latitude]])+15*Table1[[#This Row],[T-Td]])/(80-Table1[[#This Row],[Average temperature (°C)]])*365</f>
        <v>1947.1266790351231</v>
      </c>
    </row>
    <row r="29" spans="1:23" x14ac:dyDescent="0.25">
      <c r="A29" s="2" t="s">
        <v>18</v>
      </c>
      <c r="B29" s="2" t="s">
        <v>350</v>
      </c>
      <c r="C29" s="2" t="s">
        <v>351</v>
      </c>
      <c r="D29" s="2" t="s">
        <v>45</v>
      </c>
      <c r="E29" s="2">
        <v>1917</v>
      </c>
      <c r="F29" s="2">
        <v>46</v>
      </c>
      <c r="G29" s="2">
        <v>7500</v>
      </c>
      <c r="H29" s="2">
        <f>Table1[[#This Row],[Reservoir capacity (million m3)]]/Table1[[#This Row],[Dam height (m)]]*2</f>
        <v>326.08695652173913</v>
      </c>
      <c r="I29" s="2">
        <v>30</v>
      </c>
      <c r="J29" s="2">
        <v>0.69</v>
      </c>
      <c r="K29" s="2">
        <v>2</v>
      </c>
      <c r="L2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29" s="2">
        <f>1000000/1000/9.81/IF(Table1[[#This Row],[Dam height (m)]]="",10,Table1[[#This Row],[Dam height (m)]])*3600</f>
        <v>7977.6625448743507</v>
      </c>
      <c r="N29" s="3">
        <f>(Table1[[#This Row],[Reservoir area (km2)]]*1000000*Table1[[#This Row],[Eo (mm/year)]]/1000)/Table1[[#This Row],[Hydroelectricity (MW)]]/8760*Table1[[#This Row],[Water consumption allocation]]/Table1[[#This Row],[CF]]</f>
        <v>1511.4944899981783</v>
      </c>
      <c r="O29" s="2">
        <v>5.3792999999999997</v>
      </c>
      <c r="P29" s="2">
        <v>13.5084</v>
      </c>
      <c r="Q29" s="12">
        <v>667</v>
      </c>
      <c r="R29" s="12">
        <v>23.8</v>
      </c>
      <c r="S29" s="12">
        <f t="shared" si="6"/>
        <v>10</v>
      </c>
      <c r="T29" s="12">
        <f t="shared" si="7"/>
        <v>2.8000000000000007</v>
      </c>
      <c r="U29" s="12">
        <f>Table1[[#This Row],[Average temperature (°C)]]+0.006*Table1[[#This Row],[Average Country Elevation]]</f>
        <v>27.802</v>
      </c>
      <c r="V29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W29" s="14">
        <f>(700*Table1[[#This Row],[Tm]]/(100-Table1[[#This Row],[Decimal degree latitude]])+15*Table1[[#This Row],[T-Td]])/(80-Table1[[#This Row],[Average temperature (°C)]])*365</f>
        <v>1893.0610611976097</v>
      </c>
    </row>
    <row r="30" spans="1:23" x14ac:dyDescent="0.25">
      <c r="A30" s="2" t="s">
        <v>18</v>
      </c>
      <c r="B30" s="2" t="s">
        <v>46</v>
      </c>
      <c r="C30" s="2" t="s">
        <v>44</v>
      </c>
      <c r="D30" s="2" t="s">
        <v>45</v>
      </c>
      <c r="E30" s="2">
        <v>1971</v>
      </c>
      <c r="F30" s="2">
        <v>30</v>
      </c>
      <c r="G30" s="2">
        <v>2600</v>
      </c>
      <c r="H30" s="2">
        <f>Table1[[#This Row],[Reservoir capacity (million m3)]]/Table1[[#This Row],[Dam height (m)]]*2</f>
        <v>173.33333333333334</v>
      </c>
      <c r="I30" s="2">
        <v>1.4</v>
      </c>
      <c r="J30" s="2">
        <v>0.69</v>
      </c>
      <c r="K30" s="2">
        <v>3</v>
      </c>
      <c r="L3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30" s="2">
        <f>1000000/1000/9.81/IF(Table1[[#This Row],[Dam height (m)]]="",10,Table1[[#This Row],[Dam height (m)]])*3600</f>
        <v>12232.415902140672</v>
      </c>
      <c r="N30" s="3">
        <f>(Table1[[#This Row],[Reservoir area (km2)]]*1000000*Table1[[#This Row],[Eo (mm/year)]]/1000)/Table1[[#This Row],[Hydroelectricity (MW)]]/8760*Table1[[#This Row],[Water consumption allocation]]/Table1[[#This Row],[CF]]</f>
        <v>6676.9046648680705</v>
      </c>
      <c r="O30" s="2">
        <v>6.3038888888888884</v>
      </c>
      <c r="P30" s="2">
        <v>12.809444444444445</v>
      </c>
      <c r="Q30" s="12">
        <v>667</v>
      </c>
      <c r="R30" s="12">
        <v>23.8</v>
      </c>
      <c r="S30" s="12">
        <f t="shared" si="6"/>
        <v>10</v>
      </c>
      <c r="T30" s="12">
        <f t="shared" si="7"/>
        <v>2.8000000000000007</v>
      </c>
      <c r="U30" s="12">
        <f>Table1[[#This Row],[Average temperature (°C)]]+0.006*Table1[[#This Row],[Average Country Elevation]]</f>
        <v>27.802</v>
      </c>
      <c r="V30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W30" s="14">
        <f>(700*Table1[[#This Row],[Tm]]/(100-Table1[[#This Row],[Decimal degree latitude]])+15*Table1[[#This Row],[T-Td]])/(80-Table1[[#This Row],[Average temperature (°C)]])*365</f>
        <v>1906.2427658184874</v>
      </c>
    </row>
    <row r="31" spans="1:23" x14ac:dyDescent="0.25">
      <c r="A31" s="2" t="s">
        <v>19</v>
      </c>
      <c r="B31" s="2" t="s">
        <v>49</v>
      </c>
      <c r="C31" s="2" t="s">
        <v>169</v>
      </c>
      <c r="D31" s="2" t="s">
        <v>50</v>
      </c>
      <c r="E31" s="2">
        <v>1976</v>
      </c>
      <c r="F31" s="2">
        <v>5</v>
      </c>
      <c r="G31" s="2" t="s">
        <v>48</v>
      </c>
      <c r="H31" s="2">
        <v>0.01</v>
      </c>
      <c r="I31" s="2">
        <v>18</v>
      </c>
      <c r="J31" s="2">
        <v>0.95</v>
      </c>
      <c r="K31" s="2">
        <v>1</v>
      </c>
      <c r="L3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1" s="2">
        <f>1000000/1000/9.81/IF(Table1[[#This Row],[Dam height (m)]]="",10,Table1[[#This Row],[Dam height (m)]])*3600</f>
        <v>73394.495412844029</v>
      </c>
      <c r="N31" s="3">
        <f>(Table1[[#This Row],[Reservoir area (km2)]]*1000000*Table1[[#This Row],[Eo (mm/year)]]/1000)/Table1[[#This Row],[Hydroelectricity (MW)]]/8760*Table1[[#This Row],[Water consumption allocation]]/Table1[[#This Row],[CF]]</f>
        <v>0.14236178911000205</v>
      </c>
      <c r="O31" s="2">
        <v>4.8711279999999997</v>
      </c>
      <c r="P31" s="2">
        <v>18.050191999999999</v>
      </c>
      <c r="Q31" s="12">
        <v>635</v>
      </c>
      <c r="R31" s="12">
        <v>24.9</v>
      </c>
      <c r="S31" s="12">
        <f>31.4-19.1</f>
        <v>12.299999999999997</v>
      </c>
      <c r="T31" s="12">
        <f>26.9-23.8</f>
        <v>3.0999999999999979</v>
      </c>
      <c r="U31" s="12">
        <f>Table1[[#This Row],[Average temperature (°C)]]+0.006*Table1[[#This Row],[Average Country Elevation]]</f>
        <v>28.709999999999997</v>
      </c>
      <c r="V31" s="12">
        <f>0.0023*Table1[[#This Row],[Average Country Elevation]]+0.37*Table1[[#This Row],[Average temperature (°C)]]+0.53*Table1[[#This Row],[Average Range]]+0.35*Table1[[#This Row],[Average range hot-cold]]-10.9</f>
        <v>7.3774999999999959</v>
      </c>
      <c r="W31" s="14">
        <f>(700*Table1[[#This Row],[Tm]]/(100-Table1[[#This Row],[Decimal degree latitude]])+15*Table1[[#This Row],[T-Td]])/(80-Table1[[#This Row],[Average temperature (°C)]])*365</f>
        <v>2132.5226561521868</v>
      </c>
    </row>
    <row r="32" spans="1:23" x14ac:dyDescent="0.25">
      <c r="A32" s="2" t="s">
        <v>20</v>
      </c>
      <c r="B32" s="2" t="s">
        <v>53</v>
      </c>
      <c r="C32" s="2" t="s">
        <v>170</v>
      </c>
      <c r="D32" s="2" t="s">
        <v>50</v>
      </c>
      <c r="E32" s="2">
        <v>2011</v>
      </c>
      <c r="F32" s="2">
        <v>32.5</v>
      </c>
      <c r="G32" s="2">
        <v>584</v>
      </c>
      <c r="H32" s="2">
        <v>53.44</v>
      </c>
      <c r="I32" s="2">
        <v>128</v>
      </c>
      <c r="J32" s="2">
        <v>0.52</v>
      </c>
      <c r="K32" s="2">
        <v>1</v>
      </c>
      <c r="L3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2" s="2">
        <f>1000000/1000/9.81/IF(Table1[[#This Row],[Dam height (m)]]="",10,Table1[[#This Row],[Dam height (m)]])*3600</f>
        <v>11291.460832745235</v>
      </c>
      <c r="N32" s="3">
        <f>(Table1[[#This Row],[Reservoir area (km2)]]*1000000*Table1[[#This Row],[Eo (mm/year)]]/1000)/Table1[[#This Row],[Hydroelectricity (MW)]]/8760*Table1[[#This Row],[Water consumption allocation]]/Table1[[#This Row],[CF]]</f>
        <v>147.08519591442871</v>
      </c>
      <c r="O32" s="2">
        <v>-2.9347219999999998</v>
      </c>
      <c r="P32" s="2">
        <v>16.127777999999999</v>
      </c>
      <c r="Q32" s="12">
        <v>430</v>
      </c>
      <c r="R32" s="12">
        <v>24</v>
      </c>
      <c r="S32" s="12">
        <v>8</v>
      </c>
      <c r="T32" s="12">
        <f>25.5-22.2</f>
        <v>3.3000000000000007</v>
      </c>
      <c r="U32" s="12">
        <f>Table1[[#This Row],[Average temperature (°C)]]+0.006*Table1[[#This Row],[Average Country Elevation]]</f>
        <v>26.58</v>
      </c>
      <c r="V32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W32" s="14">
        <f>(700*Table1[[#This Row],[Tm]]/(100-Table1[[#This Row],[Decimal degree latitude]])+15*Table1[[#This Row],[T-Td]])/(80-Table1[[#This Row],[Average temperature (°C)]])*365</f>
        <v>1604.7963698907922</v>
      </c>
    </row>
    <row r="33" spans="1:23" x14ac:dyDescent="0.25">
      <c r="A33" s="2" t="s">
        <v>20</v>
      </c>
      <c r="B33" s="2" t="s">
        <v>51</v>
      </c>
      <c r="C33" s="2" t="s">
        <v>52</v>
      </c>
      <c r="D33" s="2" t="s">
        <v>45</v>
      </c>
      <c r="E33" s="2">
        <v>1974</v>
      </c>
      <c r="F33" s="2">
        <v>60</v>
      </c>
      <c r="G33" s="2">
        <v>0.5</v>
      </c>
      <c r="H33" s="2">
        <v>7.0000000000000007E-2</v>
      </c>
      <c r="I33" s="2">
        <v>79</v>
      </c>
      <c r="J33" s="2">
        <v>0.52</v>
      </c>
      <c r="K33" s="2">
        <v>1</v>
      </c>
      <c r="L3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3" s="2">
        <f>1000000/1000/9.81/IF(Table1[[#This Row],[Dam height (m)]]="",10,Table1[[#This Row],[Dam height (m)]])*3600</f>
        <v>6116.2079510703361</v>
      </c>
      <c r="N33" s="3">
        <f>(Table1[[#This Row],[Reservoir area (km2)]]*1000000*Table1[[#This Row],[Eo (mm/year)]]/1000)/Table1[[#This Row],[Hydroelectricity (MW)]]/8760*Table1[[#This Row],[Water consumption allocation]]/Table1[[#This Row],[CF]]</f>
        <v>0.31003839366978253</v>
      </c>
      <c r="O33" s="2">
        <v>-3.898603</v>
      </c>
      <c r="P33" s="2">
        <v>13.764965999999999</v>
      </c>
      <c r="Q33" s="12">
        <v>430</v>
      </c>
      <c r="R33" s="12">
        <v>24</v>
      </c>
      <c r="S33" s="12">
        <v>8</v>
      </c>
      <c r="T33" s="12">
        <f t="shared" ref="T33:T35" si="8">25.5-22.2</f>
        <v>3.3000000000000007</v>
      </c>
      <c r="U33" s="12">
        <f>Table1[[#This Row],[Average temperature (°C)]]+0.006*Table1[[#This Row],[Average Country Elevation]]</f>
        <v>26.58</v>
      </c>
      <c r="V33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W33" s="14">
        <f>(700*Table1[[#This Row],[Tm]]/(100-Table1[[#This Row],[Decimal degree latitude]])+15*Table1[[#This Row],[T-Td]])/(80-Table1[[#This Row],[Average temperature (°C)]])*365</f>
        <v>1593.8666339531842</v>
      </c>
    </row>
    <row r="34" spans="1:23" x14ac:dyDescent="0.25">
      <c r="A34" s="7" t="s">
        <v>20</v>
      </c>
      <c r="B34" s="8" t="s">
        <v>353</v>
      </c>
      <c r="C34" s="2"/>
      <c r="D34" s="2"/>
      <c r="E34" s="2"/>
      <c r="F34" s="2"/>
      <c r="G34" s="2"/>
      <c r="H34" s="2"/>
      <c r="I34" s="2">
        <v>15</v>
      </c>
      <c r="J34" s="2">
        <v>0.52</v>
      </c>
      <c r="K34" s="2">
        <v>1</v>
      </c>
      <c r="L3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4" s="2">
        <f>1000000/1000/9.81/IF(Table1[[#This Row],[Dam height (m)]]="",10,Table1[[#This Row],[Dam height (m)]])*3600</f>
        <v>36697.247706422015</v>
      </c>
      <c r="N3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34" s="2">
        <v>-2.0833330000000001</v>
      </c>
      <c r="P34" s="2">
        <v>14.683332999999999</v>
      </c>
      <c r="Q34" s="12">
        <v>430</v>
      </c>
      <c r="R34" s="12">
        <v>24</v>
      </c>
      <c r="S34" s="12">
        <v>8</v>
      </c>
      <c r="T34" s="12">
        <f t="shared" si="8"/>
        <v>3.3000000000000007</v>
      </c>
      <c r="U34" s="12">
        <f>Table1[[#This Row],[Average temperature (°C)]]+0.006*Table1[[#This Row],[Average Country Elevation]]</f>
        <v>26.58</v>
      </c>
      <c r="V34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W34" s="14">
        <f>(700*Table1[[#This Row],[Tm]]/(100-Table1[[#This Row],[Decimal degree latitude]])+15*Table1[[#This Row],[T-Td]])/(80-Table1[[#This Row],[Average temperature (°C)]])*365</f>
        <v>1614.6221977566147</v>
      </c>
    </row>
    <row r="35" spans="1:23" x14ac:dyDescent="0.25">
      <c r="A35" s="7" t="s">
        <v>20</v>
      </c>
      <c r="B35" s="8" t="s">
        <v>352</v>
      </c>
      <c r="C35" s="2"/>
      <c r="D35" s="2"/>
      <c r="E35" s="2"/>
      <c r="F35" s="2"/>
      <c r="G35" s="2"/>
      <c r="H35" s="2"/>
      <c r="I35" s="2">
        <v>14</v>
      </c>
      <c r="J35" s="2">
        <v>0.52</v>
      </c>
      <c r="K35" s="2">
        <v>1</v>
      </c>
      <c r="L3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5" s="2">
        <f>1000000/1000/9.81/IF(Table1[[#This Row],[Dam height (m)]]="",10,Table1[[#This Row],[Dam height (m)]])*3600</f>
        <v>36697.247706422015</v>
      </c>
      <c r="N3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35" s="2">
        <v>-4.3</v>
      </c>
      <c r="P35" s="2">
        <v>15.2</v>
      </c>
      <c r="Q35" s="12">
        <v>430</v>
      </c>
      <c r="R35" s="12">
        <v>24</v>
      </c>
      <c r="S35" s="12">
        <v>8</v>
      </c>
      <c r="T35" s="12">
        <f t="shared" si="8"/>
        <v>3.3000000000000007</v>
      </c>
      <c r="U35" s="12">
        <f>Table1[[#This Row],[Average temperature (°C)]]+0.006*Table1[[#This Row],[Average Country Elevation]]</f>
        <v>26.58</v>
      </c>
      <c r="V35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W35" s="14">
        <f>(700*Table1[[#This Row],[Tm]]/(100-Table1[[#This Row],[Decimal degree latitude]])+15*Table1[[#This Row],[T-Td]])/(80-Table1[[#This Row],[Average temperature (°C)]])*365</f>
        <v>1589.3746524448704</v>
      </c>
    </row>
    <row r="36" spans="1:23" x14ac:dyDescent="0.25">
      <c r="A36" s="2" t="s">
        <v>231</v>
      </c>
      <c r="B36" s="2" t="s">
        <v>307</v>
      </c>
      <c r="C36" s="2" t="s">
        <v>308</v>
      </c>
      <c r="D36" s="2" t="s">
        <v>301</v>
      </c>
      <c r="E36" s="2">
        <v>1979</v>
      </c>
      <c r="F36" s="2">
        <v>34</v>
      </c>
      <c r="G36" s="2">
        <v>69</v>
      </c>
      <c r="H36" s="2">
        <v>29.7</v>
      </c>
      <c r="I36" s="2">
        <v>328</v>
      </c>
      <c r="J36" s="2">
        <v>0.34</v>
      </c>
      <c r="K36" s="2">
        <v>1</v>
      </c>
      <c r="L3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6" s="2">
        <f>1000000/1000/9.81/IF(Table1[[#This Row],[Dam height (m)]]="",10,Table1[[#This Row],[Dam height (m)]])*3600</f>
        <v>10793.308148947652</v>
      </c>
      <c r="N36" s="3">
        <f>(Table1[[#This Row],[Reservoir area (km2)]]*1000000*Table1[[#This Row],[Eo (mm/year)]]/1000)/Table1[[#This Row],[Hydroelectricity (MW)]]/8760*Table1[[#This Row],[Water consumption allocation]]/Table1[[#This Row],[CF]]</f>
        <v>58.701720780398119</v>
      </c>
      <c r="O36" s="2">
        <v>6.2305555555555561</v>
      </c>
      <c r="P36" s="2">
        <v>-5.0838888888888887</v>
      </c>
      <c r="Q36" s="12">
        <v>250</v>
      </c>
      <c r="R36" s="12">
        <v>26.2</v>
      </c>
      <c r="S36" s="12">
        <f>30.2-21.4</f>
        <v>8.8000000000000007</v>
      </c>
      <c r="T36" s="12">
        <f>27.9-24.6</f>
        <v>3.2999999999999972</v>
      </c>
      <c r="U36" s="12">
        <f>Table1[[#This Row],[Average temperature (°C)]]+0.006*Table1[[#This Row],[Average Country Elevation]]</f>
        <v>27.7</v>
      </c>
      <c r="V36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36" s="14">
        <f>(700*Table1[[#This Row],[Tm]]/(100-Table1[[#This Row],[Decimal degree latitude]])+15*Table1[[#This Row],[T-Td]])/(80-Table1[[#This Row],[Average temperature (°C)]])*365</f>
        <v>1930.8620638561208</v>
      </c>
    </row>
    <row r="37" spans="1:23" x14ac:dyDescent="0.25">
      <c r="A37" s="2" t="s">
        <v>231</v>
      </c>
      <c r="B37" s="2" t="s">
        <v>305</v>
      </c>
      <c r="C37" s="2" t="s">
        <v>306</v>
      </c>
      <c r="D37" s="2" t="s">
        <v>301</v>
      </c>
      <c r="E37" s="2">
        <v>2017</v>
      </c>
      <c r="F37" s="2"/>
      <c r="G37" s="2"/>
      <c r="H37" s="2"/>
      <c r="I37" s="2">
        <v>275</v>
      </c>
      <c r="J37" s="2">
        <v>0.34</v>
      </c>
      <c r="K37" s="2">
        <v>1</v>
      </c>
      <c r="L3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7" s="2">
        <f>1000000/1000/9.81/IF(Table1[[#This Row],[Dam height (m)]]="",10,Table1[[#This Row],[Dam height (m)]])*3600</f>
        <v>36697.247706422015</v>
      </c>
      <c r="N3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37" s="2">
        <v>5.7832999999999997</v>
      </c>
      <c r="P37" s="2">
        <v>-6.6</v>
      </c>
      <c r="Q37" s="12">
        <v>250</v>
      </c>
      <c r="R37" s="12">
        <v>26.2</v>
      </c>
      <c r="S37" s="12">
        <f t="shared" ref="S37:S41" si="9">30.2-21.4</f>
        <v>8.8000000000000007</v>
      </c>
      <c r="T37" s="12">
        <f t="shared" ref="T37:T41" si="10">27.9-24.6</f>
        <v>3.2999999999999972</v>
      </c>
      <c r="U37" s="12">
        <f>Table1[[#This Row],[Average temperature (°C)]]+0.006*Table1[[#This Row],[Average Country Elevation]]</f>
        <v>27.7</v>
      </c>
      <c r="V37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37" s="14">
        <f>(700*Table1[[#This Row],[Tm]]/(100-Table1[[#This Row],[Decimal degree latitude]])+15*Table1[[#This Row],[T-Td]])/(80-Table1[[#This Row],[Average temperature (°C)]])*365</f>
        <v>1924.2023601128526</v>
      </c>
    </row>
    <row r="38" spans="1:23" x14ac:dyDescent="0.25">
      <c r="A38" s="2" t="s">
        <v>231</v>
      </c>
      <c r="B38" s="2" t="s">
        <v>309</v>
      </c>
      <c r="C38" s="2" t="s">
        <v>308</v>
      </c>
      <c r="D38" s="2" t="s">
        <v>301</v>
      </c>
      <c r="E38" s="2">
        <v>1972</v>
      </c>
      <c r="F38" s="2">
        <v>58</v>
      </c>
      <c r="G38" s="2">
        <v>27675</v>
      </c>
      <c r="H38" s="2">
        <v>1780</v>
      </c>
      <c r="I38" s="2">
        <v>220</v>
      </c>
      <c r="J38" s="2">
        <v>0.34</v>
      </c>
      <c r="K38" s="2">
        <v>2</v>
      </c>
      <c r="L3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M38" s="2">
        <f>1000000/1000/9.81/IF(Table1[[#This Row],[Dam height (m)]]="",10,Table1[[#This Row],[Dam height (m)]])*3600</f>
        <v>6327.1116735210371</v>
      </c>
      <c r="N38" s="3">
        <f>(Table1[[#This Row],[Reservoir area (km2)]]*1000000*Table1[[#This Row],[Eo (mm/year)]]/1000)/Table1[[#This Row],[Hydroelectricity (MW)]]/8760*Table1[[#This Row],[Water consumption allocation]]/Table1[[#This Row],[CF]]</f>
        <v>2876.5483818259513</v>
      </c>
      <c r="O38" s="2">
        <v>7.0313888888888885</v>
      </c>
      <c r="P38" s="2">
        <v>-5.4738888888888892</v>
      </c>
      <c r="Q38" s="12">
        <v>250</v>
      </c>
      <c r="R38" s="12">
        <v>26.2</v>
      </c>
      <c r="S38" s="12">
        <f t="shared" si="9"/>
        <v>8.8000000000000007</v>
      </c>
      <c r="T38" s="12">
        <f t="shared" si="10"/>
        <v>3.2999999999999972</v>
      </c>
      <c r="U38" s="12">
        <f>Table1[[#This Row],[Average temperature (°C)]]+0.006*Table1[[#This Row],[Average Country Elevation]]</f>
        <v>27.7</v>
      </c>
      <c r="V38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38" s="14">
        <f>(700*Table1[[#This Row],[Tm]]/(100-Table1[[#This Row],[Decimal degree latitude]])+15*Table1[[#This Row],[T-Td]])/(80-Table1[[#This Row],[Average temperature (°C)]])*365</f>
        <v>1942.9466798213493</v>
      </c>
    </row>
    <row r="39" spans="1:23" x14ac:dyDescent="0.25">
      <c r="A39" s="2" t="s">
        <v>231</v>
      </c>
      <c r="B39" s="2" t="s">
        <v>310</v>
      </c>
      <c r="C39" s="2" t="s">
        <v>312</v>
      </c>
      <c r="D39" s="2" t="s">
        <v>301</v>
      </c>
      <c r="E39" s="2">
        <v>1959</v>
      </c>
      <c r="F39" s="2">
        <v>30</v>
      </c>
      <c r="G39" s="2">
        <v>900</v>
      </c>
      <c r="H39" s="2">
        <v>180</v>
      </c>
      <c r="I39" s="2">
        <v>30</v>
      </c>
      <c r="J39" s="2">
        <v>0.34</v>
      </c>
      <c r="K39" s="2">
        <v>1</v>
      </c>
      <c r="L3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39" s="2">
        <f>1000000/1000/9.81/IF(Table1[[#This Row],[Dam height (m)]]="",10,Table1[[#This Row],[Dam height (m)]])*3600</f>
        <v>12232.415902140672</v>
      </c>
      <c r="N39" s="3">
        <f>(Table1[[#This Row],[Reservoir area (km2)]]*1000000*Table1[[#This Row],[Eo (mm/year)]]/1000)/Table1[[#This Row],[Hydroelectricity (MW)]]/8760*Table1[[#This Row],[Water consumption allocation]]/Table1[[#This Row],[CF]]</f>
        <v>3870.8030283674652</v>
      </c>
      <c r="O39" s="2">
        <v>5.5983333333333327</v>
      </c>
      <c r="P39" s="2">
        <v>-3.1588888888888889</v>
      </c>
      <c r="Q39" s="12">
        <v>250</v>
      </c>
      <c r="R39" s="12">
        <v>26.2</v>
      </c>
      <c r="S39" s="12">
        <f t="shared" si="9"/>
        <v>8.8000000000000007</v>
      </c>
      <c r="T39" s="12">
        <f t="shared" si="10"/>
        <v>3.2999999999999972</v>
      </c>
      <c r="U39" s="12">
        <f>Table1[[#This Row],[Average temperature (°C)]]+0.006*Table1[[#This Row],[Average Country Elevation]]</f>
        <v>27.7</v>
      </c>
      <c r="V39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39" s="14">
        <f>(700*Table1[[#This Row],[Tm]]/(100-Table1[[#This Row],[Decimal degree latitude]])+15*Table1[[#This Row],[T-Td]])/(80-Table1[[#This Row],[Average temperature (°C)]])*365</f>
        <v>1921.4666232816101</v>
      </c>
    </row>
    <row r="40" spans="1:23" x14ac:dyDescent="0.25">
      <c r="A40" s="2" t="s">
        <v>231</v>
      </c>
      <c r="B40" s="2" t="s">
        <v>311</v>
      </c>
      <c r="C40" s="2" t="s">
        <v>312</v>
      </c>
      <c r="D40" s="2" t="s">
        <v>301</v>
      </c>
      <c r="E40" s="2">
        <v>1964</v>
      </c>
      <c r="F40" s="2">
        <v>35</v>
      </c>
      <c r="G40" s="2">
        <v>69</v>
      </c>
      <c r="H40" s="2">
        <v>1</v>
      </c>
      <c r="I40" s="2">
        <v>22</v>
      </c>
      <c r="J40" s="2">
        <v>0.34</v>
      </c>
      <c r="K40" s="2">
        <v>1</v>
      </c>
      <c r="L4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0" s="2">
        <f>1000000/1000/9.81/IF(Table1[[#This Row],[Dam height (m)]]="",10,Table1[[#This Row],[Dam height (m)]])*3600</f>
        <v>10484.927916120576</v>
      </c>
      <c r="N40" s="3">
        <f>(Table1[[#This Row],[Reservoir area (km2)]]*1000000*Table1[[#This Row],[Eo (mm/year)]]/1000)/Table1[[#This Row],[Hydroelectricity (MW)]]/8760*Table1[[#This Row],[Water consumption allocation]]/Table1[[#This Row],[CF]]</f>
        <v>29.294644763032213</v>
      </c>
      <c r="O40" s="2">
        <v>5.4666666666666668</v>
      </c>
      <c r="P40" s="2">
        <v>-3.161111111111111</v>
      </c>
      <c r="Q40" s="12">
        <v>250</v>
      </c>
      <c r="R40" s="12">
        <v>26.2</v>
      </c>
      <c r="S40" s="12">
        <f t="shared" si="9"/>
        <v>8.8000000000000007</v>
      </c>
      <c r="T40" s="12">
        <f t="shared" si="10"/>
        <v>3.2999999999999972</v>
      </c>
      <c r="U40" s="12">
        <f>Table1[[#This Row],[Average temperature (°C)]]+0.006*Table1[[#This Row],[Average Country Elevation]]</f>
        <v>27.7</v>
      </c>
      <c r="V40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40" s="14">
        <f>(700*Table1[[#This Row],[Tm]]/(100-Table1[[#This Row],[Decimal degree latitude]])+15*Table1[[#This Row],[T-Td]])/(80-Table1[[#This Row],[Average temperature (°C)]])*365</f>
        <v>1919.5257391687333</v>
      </c>
    </row>
    <row r="41" spans="1:23" x14ac:dyDescent="0.25">
      <c r="A41" s="2" t="s">
        <v>231</v>
      </c>
      <c r="B41" s="2" t="s">
        <v>314</v>
      </c>
      <c r="C41" s="2" t="s">
        <v>313</v>
      </c>
      <c r="D41" s="2" t="s">
        <v>301</v>
      </c>
      <c r="E41" s="2">
        <v>1982</v>
      </c>
      <c r="F41" s="2">
        <v>17</v>
      </c>
      <c r="G41" s="2">
        <v>14</v>
      </c>
      <c r="H41" s="2">
        <f>Table1[[#This Row],[Reservoir capacity (million m3)]]/Table1[[#This Row],[Dam height (m)]]*2</f>
        <v>1.6470588235294117</v>
      </c>
      <c r="I41" s="2">
        <v>5</v>
      </c>
      <c r="J41" s="2">
        <v>0.34</v>
      </c>
      <c r="K41" s="2">
        <v>1</v>
      </c>
      <c r="L4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1" s="2">
        <f>1000000/1000/9.81/IF(Table1[[#This Row],[Dam height (m)]]="",10,Table1[[#This Row],[Dam height (m)]])*3600</f>
        <v>21586.616297895303</v>
      </c>
      <c r="N41" s="3">
        <f>(Table1[[#This Row],[Reservoir area (km2)]]*1000000*Table1[[#This Row],[Eo (mm/year)]]/1000)/Table1[[#This Row],[Hydroelectricity (MW)]]/8760*Table1[[#This Row],[Water consumption allocation]]/Table1[[#This Row],[CF]]</f>
        <v>216.04490431581681</v>
      </c>
      <c r="O41" s="2">
        <v>7.7122222222222225</v>
      </c>
      <c r="P41" s="2">
        <v>-5.2266666666666666</v>
      </c>
      <c r="Q41" s="12">
        <v>250</v>
      </c>
      <c r="R41" s="12">
        <v>26.2</v>
      </c>
      <c r="S41" s="12">
        <f t="shared" si="9"/>
        <v>8.8000000000000007</v>
      </c>
      <c r="T41" s="12">
        <f t="shared" si="10"/>
        <v>3.2999999999999972</v>
      </c>
      <c r="U41" s="12">
        <f>Table1[[#This Row],[Average temperature (°C)]]+0.006*Table1[[#This Row],[Average Country Elevation]]</f>
        <v>27.7</v>
      </c>
      <c r="V41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W41" s="14">
        <f>(700*Table1[[#This Row],[Tm]]/(100-Table1[[#This Row],[Decimal degree latitude]])+15*Table1[[#This Row],[T-Td]])/(80-Table1[[#This Row],[Average temperature (°C)]])*365</f>
        <v>1953.3854341503379</v>
      </c>
    </row>
    <row r="42" spans="1:23" x14ac:dyDescent="0.25">
      <c r="A42" s="2" t="s">
        <v>54</v>
      </c>
      <c r="B42" s="2" t="s">
        <v>56</v>
      </c>
      <c r="C42" s="2" t="s">
        <v>20</v>
      </c>
      <c r="D42" s="2" t="s">
        <v>50</v>
      </c>
      <c r="E42" s="2">
        <v>1977</v>
      </c>
      <c r="F42" s="2">
        <v>40</v>
      </c>
      <c r="G42" s="2">
        <v>20</v>
      </c>
      <c r="H42" s="2">
        <v>1.94</v>
      </c>
      <c r="I42" s="2">
        <v>1424</v>
      </c>
      <c r="J42" s="2">
        <v>0.38</v>
      </c>
      <c r="K42" s="2">
        <v>1</v>
      </c>
      <c r="L4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2" s="2">
        <f>1000000/1000/9.81/IF(Table1[[#This Row],[Dam height (m)]]="",10,Table1[[#This Row],[Dam height (m)]])*3600</f>
        <v>9174.3119266055037</v>
      </c>
      <c r="N42" s="3">
        <f>(Table1[[#This Row],[Reservoir area (km2)]]*1000000*Table1[[#This Row],[Eo (mm/year)]]/1000)/Table1[[#This Row],[Hydroelectricity (MW)]]/8760*Table1[[#This Row],[Water consumption allocation]]/Table1[[#This Row],[CF]]</f>
        <v>0.71507075704643919</v>
      </c>
      <c r="O42" s="2">
        <v>-5.525741</v>
      </c>
      <c r="P42" s="2">
        <v>13.620479</v>
      </c>
      <c r="Q42" s="12">
        <v>726</v>
      </c>
      <c r="R42" s="12">
        <v>23.5</v>
      </c>
      <c r="S42" s="12">
        <f>29-18.6</f>
        <v>10.399999999999999</v>
      </c>
      <c r="T42" s="12">
        <f>24.3-22.2</f>
        <v>2.1000000000000014</v>
      </c>
      <c r="U42" s="12">
        <f>Table1[[#This Row],[Average temperature (°C)]]+0.006*Table1[[#This Row],[Average Country Elevation]]</f>
        <v>27.856000000000002</v>
      </c>
      <c r="V42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2" s="14">
        <f>(700*Table1[[#This Row],[Tm]]/(100-Table1[[#This Row],[Decimal degree latitude]])+15*Table1[[#This Row],[T-Td]])/(80-Table1[[#This Row],[Average temperature (°C)]])*365</f>
        <v>1747.2094903835105</v>
      </c>
    </row>
    <row r="43" spans="1:23" x14ac:dyDescent="0.25">
      <c r="A43" s="2" t="s">
        <v>54</v>
      </c>
      <c r="B43" s="2" t="s">
        <v>55</v>
      </c>
      <c r="C43" s="2" t="s">
        <v>20</v>
      </c>
      <c r="D43" s="2" t="s">
        <v>50</v>
      </c>
      <c r="E43" s="2">
        <v>1972</v>
      </c>
      <c r="F43" s="2">
        <v>115</v>
      </c>
      <c r="G43" s="2">
        <v>20</v>
      </c>
      <c r="H43" s="2">
        <v>1.94</v>
      </c>
      <c r="I43" s="2">
        <v>351</v>
      </c>
      <c r="J43" s="2">
        <v>0.38</v>
      </c>
      <c r="K43" s="2">
        <v>1</v>
      </c>
      <c r="L4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3" s="2">
        <f>1000000/1000/9.81/IF(Table1[[#This Row],[Dam height (m)]]="",10,Table1[[#This Row],[Dam height (m)]])*3600</f>
        <v>3191.0650179497406</v>
      </c>
      <c r="N43" s="3">
        <f>(Table1[[#This Row],[Reservoir area (km2)]]*1000000*Table1[[#This Row],[Eo (mm/year)]]/1000)/Table1[[#This Row],[Hydroelectricity (MW)]]/8760*Table1[[#This Row],[Water consumption allocation]]/Table1[[#This Row],[CF]]</f>
        <v>2.9012179156654927</v>
      </c>
      <c r="O43" s="2">
        <v>-5.5156200000000002</v>
      </c>
      <c r="P43" s="2">
        <v>13.621185000000001</v>
      </c>
      <c r="Q43" s="12">
        <v>726</v>
      </c>
      <c r="R43" s="12">
        <v>23.5</v>
      </c>
      <c r="S43" s="12">
        <f t="shared" ref="S43:S52" si="11">29-18.6</f>
        <v>10.399999999999999</v>
      </c>
      <c r="T43" s="12">
        <f t="shared" ref="T43:T52" si="12">24.3-22.2</f>
        <v>2.1000000000000014</v>
      </c>
      <c r="U43" s="12">
        <f>Table1[[#This Row],[Average temperature (°C)]]+0.006*Table1[[#This Row],[Average Country Elevation]]</f>
        <v>27.856000000000002</v>
      </c>
      <c r="V43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3" s="14">
        <f>(700*Table1[[#This Row],[Tm]]/(100-Table1[[#This Row],[Decimal degree latitude]])+15*Table1[[#This Row],[T-Td]])/(80-Table1[[#This Row],[Average temperature (°C)]])*365</f>
        <v>1747.3239914336184</v>
      </c>
    </row>
    <row r="44" spans="1:23" x14ac:dyDescent="0.25">
      <c r="A44" s="2" t="s">
        <v>54</v>
      </c>
      <c r="B44" s="2" t="s">
        <v>60</v>
      </c>
      <c r="C44" s="2" t="s">
        <v>20</v>
      </c>
      <c r="D44" s="2" t="s">
        <v>50</v>
      </c>
      <c r="E44" s="2">
        <v>1956</v>
      </c>
      <c r="F44" s="2">
        <v>70</v>
      </c>
      <c r="G44" s="2">
        <v>0.7</v>
      </c>
      <c r="H44" s="2">
        <v>2.5</v>
      </c>
      <c r="I44" s="2">
        <v>260</v>
      </c>
      <c r="J44" s="2">
        <v>0.38</v>
      </c>
      <c r="K44" s="2">
        <v>1</v>
      </c>
      <c r="L4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4" s="2">
        <f>1000000/1000/9.81/IF(Table1[[#This Row],[Dam height (m)]]="",10,Table1[[#This Row],[Dam height (m)]])*3600</f>
        <v>5242.463958060288</v>
      </c>
      <c r="N44" s="3">
        <f>(Table1[[#This Row],[Reservoir area (km2)]]*1000000*Table1[[#This Row],[Eo (mm/year)]]/1000)/Table1[[#This Row],[Hydroelectricity (MW)]]/8760*Table1[[#This Row],[Water consumption allocation]]/Table1[[#This Row],[CF]]</f>
        <v>4.8968664213343125</v>
      </c>
      <c r="O44" s="2">
        <v>-10.325934</v>
      </c>
      <c r="P44" s="2">
        <v>25.426869</v>
      </c>
      <c r="Q44" s="12">
        <v>726</v>
      </c>
      <c r="R44" s="12">
        <v>23.5</v>
      </c>
      <c r="S44" s="12">
        <f t="shared" si="11"/>
        <v>10.399999999999999</v>
      </c>
      <c r="T44" s="12">
        <f t="shared" si="12"/>
        <v>2.1000000000000014</v>
      </c>
      <c r="U44" s="12">
        <f>Table1[[#This Row],[Average temperature (°C)]]+0.006*Table1[[#This Row],[Average Country Elevation]]</f>
        <v>27.856000000000002</v>
      </c>
      <c r="V44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4" s="14">
        <f>(700*Table1[[#This Row],[Tm]]/(100-Table1[[#This Row],[Decimal degree latitude]])+15*Table1[[#This Row],[T-Td]])/(80-Table1[[#This Row],[Average temperature (°C)]])*365</f>
        <v>1695.2716501071168</v>
      </c>
    </row>
    <row r="45" spans="1:23" x14ac:dyDescent="0.25">
      <c r="A45" s="2" t="s">
        <v>54</v>
      </c>
      <c r="B45" s="2" t="s">
        <v>61</v>
      </c>
      <c r="C45" s="2" t="s">
        <v>20</v>
      </c>
      <c r="D45" s="2" t="s">
        <v>50</v>
      </c>
      <c r="E45" s="2">
        <v>1953</v>
      </c>
      <c r="F45" s="2">
        <v>73</v>
      </c>
      <c r="G45" s="2">
        <v>1.7330000000000001</v>
      </c>
      <c r="H45" s="2">
        <v>188.23</v>
      </c>
      <c r="I45" s="2">
        <v>180</v>
      </c>
      <c r="J45" s="2">
        <v>0.38</v>
      </c>
      <c r="K45" s="2">
        <v>1</v>
      </c>
      <c r="L4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5" s="2">
        <f>1000000/1000/9.81/IF(Table1[[#This Row],[Dam height (m)]]="",10,Table1[[#This Row],[Dam height (m)]])*3600</f>
        <v>5027.0202337564406</v>
      </c>
      <c r="N45" s="3">
        <f>(Table1[[#This Row],[Reservoir area (km2)]]*1000000*Table1[[#This Row],[Eo (mm/year)]]/1000)/Table1[[#This Row],[Hydroelectricity (MW)]]/8760*Table1[[#This Row],[Water consumption allocation]]/Table1[[#This Row],[CF]]</f>
        <v>531.98594161726828</v>
      </c>
      <c r="O45" s="2">
        <v>-10.502558000000001</v>
      </c>
      <c r="P45" s="2">
        <v>25.463047</v>
      </c>
      <c r="Q45" s="12">
        <v>726</v>
      </c>
      <c r="R45" s="12">
        <v>23.5</v>
      </c>
      <c r="S45" s="12">
        <f t="shared" si="11"/>
        <v>10.399999999999999</v>
      </c>
      <c r="T45" s="12">
        <f t="shared" si="12"/>
        <v>2.1000000000000014</v>
      </c>
      <c r="U45" s="12">
        <f>Table1[[#This Row],[Average temperature (°C)]]+0.006*Table1[[#This Row],[Average Country Elevation]]</f>
        <v>27.856000000000002</v>
      </c>
      <c r="V45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5" s="14">
        <f>(700*Table1[[#This Row],[Tm]]/(100-Table1[[#This Row],[Decimal degree latitude]])+15*Table1[[#This Row],[T-Td]])/(80-Table1[[#This Row],[Average temperature (°C)]])*365</f>
        <v>1693.4466580353892</v>
      </c>
    </row>
    <row r="46" spans="1:23" x14ac:dyDescent="0.25">
      <c r="A46" s="2" t="s">
        <v>54</v>
      </c>
      <c r="B46" s="2" t="s">
        <v>64</v>
      </c>
      <c r="C46" s="2" t="s">
        <v>200</v>
      </c>
      <c r="D46" s="2" t="s">
        <v>50</v>
      </c>
      <c r="E46" s="2">
        <v>2017</v>
      </c>
      <c r="F46" s="2">
        <v>20</v>
      </c>
      <c r="G46" s="2" t="s">
        <v>48</v>
      </c>
      <c r="H46" s="2">
        <v>0.14000000000000001</v>
      </c>
      <c r="I46" s="2">
        <v>150</v>
      </c>
      <c r="J46" s="2">
        <v>0.38</v>
      </c>
      <c r="K46" s="2">
        <v>1</v>
      </c>
      <c r="L4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6" s="2">
        <f>1000000/1000/9.81/IF(Table1[[#This Row],[Dam height (m)]]="",10,Table1[[#This Row],[Dam height (m)]])*3600</f>
        <v>18348.623853211007</v>
      </c>
      <c r="N46" s="3">
        <f>(Table1[[#This Row],[Reservoir area (km2)]]*1000000*Table1[[#This Row],[Eo (mm/year)]]/1000)/Table1[[#This Row],[Hydroelectricity (MW)]]/8760*Table1[[#This Row],[Water consumption allocation]]/Table1[[#This Row],[CF]]</f>
        <v>0.49225524483788052</v>
      </c>
      <c r="O46" s="2">
        <v>-4.7836569999999998</v>
      </c>
      <c r="P46" s="2">
        <v>14.910054000000001</v>
      </c>
      <c r="Q46" s="12">
        <v>726</v>
      </c>
      <c r="R46" s="12">
        <v>23.5</v>
      </c>
      <c r="S46" s="12">
        <f t="shared" si="11"/>
        <v>10.399999999999999</v>
      </c>
      <c r="T46" s="12">
        <f t="shared" si="12"/>
        <v>2.1000000000000014</v>
      </c>
      <c r="U46" s="12">
        <f>Table1[[#This Row],[Average temperature (°C)]]+0.006*Table1[[#This Row],[Average Country Elevation]]</f>
        <v>27.856000000000002</v>
      </c>
      <c r="V46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6" s="14">
        <f>(700*Table1[[#This Row],[Tm]]/(100-Table1[[#This Row],[Decimal degree latitude]])+15*Table1[[#This Row],[T-Td]])/(80-Table1[[#This Row],[Average temperature (°C)]])*365</f>
        <v>1755.6634918032178</v>
      </c>
    </row>
    <row r="47" spans="1:23" x14ac:dyDescent="0.25">
      <c r="A47" s="2" t="s">
        <v>54</v>
      </c>
      <c r="B47" s="2" t="s">
        <v>63</v>
      </c>
      <c r="C47" s="2" t="s">
        <v>200</v>
      </c>
      <c r="D47" s="2" t="s">
        <v>50</v>
      </c>
      <c r="E47" s="2">
        <v>1955</v>
      </c>
      <c r="F47" s="2">
        <v>11</v>
      </c>
      <c r="G47" s="2">
        <v>0.02</v>
      </c>
      <c r="H47" s="2">
        <v>0.14000000000000001</v>
      </c>
      <c r="I47" s="2">
        <v>75</v>
      </c>
      <c r="J47" s="2">
        <v>0.38</v>
      </c>
      <c r="K47" s="2">
        <v>1</v>
      </c>
      <c r="L4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7" s="2">
        <f>1000000/1000/9.81/IF(Table1[[#This Row],[Dam height (m)]]="",10,Table1[[#This Row],[Dam height (m)]])*3600</f>
        <v>33361.134278565471</v>
      </c>
      <c r="N47" s="3">
        <f>(Table1[[#This Row],[Reservoir area (km2)]]*1000000*Table1[[#This Row],[Eo (mm/year)]]/1000)/Table1[[#This Row],[Hydroelectricity (MW)]]/8760*Table1[[#This Row],[Water consumption allocation]]/Table1[[#This Row],[CF]]</f>
        <v>0.98451048967576105</v>
      </c>
      <c r="O47" s="2">
        <v>-4.7836569999999998</v>
      </c>
      <c r="P47" s="2">
        <v>14.910054000000001</v>
      </c>
      <c r="Q47" s="12">
        <v>726</v>
      </c>
      <c r="R47" s="12">
        <v>23.5</v>
      </c>
      <c r="S47" s="12">
        <f t="shared" si="11"/>
        <v>10.399999999999999</v>
      </c>
      <c r="T47" s="12">
        <f t="shared" si="12"/>
        <v>2.1000000000000014</v>
      </c>
      <c r="U47" s="12">
        <f>Table1[[#This Row],[Average temperature (°C)]]+0.006*Table1[[#This Row],[Average Country Elevation]]</f>
        <v>27.856000000000002</v>
      </c>
      <c r="V47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7" s="14">
        <f>(700*Table1[[#This Row],[Tm]]/(100-Table1[[#This Row],[Decimal degree latitude]])+15*Table1[[#This Row],[T-Td]])/(80-Table1[[#This Row],[Average temperature (°C)]])*365</f>
        <v>1755.6634918032178</v>
      </c>
    </row>
    <row r="48" spans="1:23" x14ac:dyDescent="0.25">
      <c r="A48" s="2" t="s">
        <v>54</v>
      </c>
      <c r="B48" s="2" t="s">
        <v>177</v>
      </c>
      <c r="C48" s="2" t="s">
        <v>62</v>
      </c>
      <c r="D48" s="2" t="s">
        <v>50</v>
      </c>
      <c r="E48" s="2">
        <v>1989</v>
      </c>
      <c r="F48" s="2">
        <v>15</v>
      </c>
      <c r="G48" s="2">
        <v>15.5</v>
      </c>
      <c r="H48" s="2">
        <v>0.26</v>
      </c>
      <c r="I48" s="2">
        <v>44</v>
      </c>
      <c r="J48" s="2">
        <v>0.38</v>
      </c>
      <c r="K48" s="2">
        <v>1</v>
      </c>
      <c r="L4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8" s="2">
        <f>1000000/1000/9.81/IF(Table1[[#This Row],[Dam height (m)]]="",10,Table1[[#This Row],[Dam height (m)]])*3600</f>
        <v>24464.831804281344</v>
      </c>
      <c r="N48" s="3">
        <f>(Table1[[#This Row],[Reservoir area (km2)]]*1000000*Table1[[#This Row],[Eo (mm/year)]]/1000)/Table1[[#This Row],[Hydroelectricity (MW)]]/8760*Table1[[#This Row],[Water consumption allocation]]/Table1[[#This Row],[CF]]</f>
        <v>3.1639005758279777</v>
      </c>
      <c r="O48" s="2">
        <v>-2.5091999999999999</v>
      </c>
      <c r="P48" s="2">
        <v>28.8752</v>
      </c>
      <c r="Q48" s="12">
        <v>726</v>
      </c>
      <c r="R48" s="12">
        <v>23.5</v>
      </c>
      <c r="S48" s="12">
        <f t="shared" si="11"/>
        <v>10.399999999999999</v>
      </c>
      <c r="T48" s="12">
        <f t="shared" si="12"/>
        <v>2.1000000000000014</v>
      </c>
      <c r="U48" s="12">
        <f>Table1[[#This Row],[Average temperature (°C)]]+0.006*Table1[[#This Row],[Average Country Elevation]]</f>
        <v>27.856000000000002</v>
      </c>
      <c r="V48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8" s="14">
        <f>(700*Table1[[#This Row],[Tm]]/(100-Table1[[#This Row],[Decimal degree latitude]])+15*Table1[[#This Row],[T-Td]])/(80-Table1[[#This Row],[Average temperature (°C)]])*365</f>
        <v>1782.3371477688909</v>
      </c>
    </row>
    <row r="49" spans="1:23" x14ac:dyDescent="0.25">
      <c r="A49" s="2" t="s">
        <v>54</v>
      </c>
      <c r="B49" s="2" t="s">
        <v>57</v>
      </c>
      <c r="C49" s="2" t="s">
        <v>58</v>
      </c>
      <c r="D49" s="2" t="s">
        <v>50</v>
      </c>
      <c r="E49" s="2">
        <v>1949</v>
      </c>
      <c r="F49" s="2">
        <v>19</v>
      </c>
      <c r="G49" s="2">
        <v>28</v>
      </c>
      <c r="H49" s="2">
        <v>3.32</v>
      </c>
      <c r="I49" s="2">
        <v>36</v>
      </c>
      <c r="J49" s="2">
        <v>0.38</v>
      </c>
      <c r="K49" s="2">
        <v>1</v>
      </c>
      <c r="L4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49" s="2">
        <f>1000000/1000/9.81/IF(Table1[[#This Row],[Dam height (m)]]="",10,Table1[[#This Row],[Dam height (m)]])*3600</f>
        <v>19314.34089811685</v>
      </c>
      <c r="N49" s="3">
        <f>(Table1[[#This Row],[Reservoir area (km2)]]*1000000*Table1[[#This Row],[Eo (mm/year)]]/1000)/Table1[[#This Row],[Hydroelectricity (MW)]]/8760*Table1[[#This Row],[Water consumption allocation]]/Table1[[#This Row],[CF]]</f>
        <v>46.853245162771955</v>
      </c>
      <c r="O49" s="2">
        <v>-10.721971999999999</v>
      </c>
      <c r="P49" s="2">
        <v>27.268778000000001</v>
      </c>
      <c r="Q49" s="12">
        <v>726</v>
      </c>
      <c r="R49" s="12">
        <v>23.5</v>
      </c>
      <c r="S49" s="12">
        <f t="shared" si="11"/>
        <v>10.399999999999999</v>
      </c>
      <c r="T49" s="12">
        <f t="shared" si="12"/>
        <v>2.1000000000000014</v>
      </c>
      <c r="U49" s="12">
        <f>Table1[[#This Row],[Average temperature (°C)]]+0.006*Table1[[#This Row],[Average Country Elevation]]</f>
        <v>27.856000000000002</v>
      </c>
      <c r="V49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49" s="14">
        <f>(700*Table1[[#This Row],[Tm]]/(100-Table1[[#This Row],[Decimal degree latitude]])+15*Table1[[#This Row],[T-Td]])/(80-Table1[[#This Row],[Average temperature (°C)]])*365</f>
        <v>1691.1876415427923</v>
      </c>
    </row>
    <row r="50" spans="1:23" x14ac:dyDescent="0.25">
      <c r="A50" s="2" t="s">
        <v>54</v>
      </c>
      <c r="B50" s="2" t="s">
        <v>354</v>
      </c>
      <c r="C50" s="2"/>
      <c r="D50" s="2"/>
      <c r="E50" s="2"/>
      <c r="F50" s="2"/>
      <c r="G50" s="2"/>
      <c r="H50" s="2"/>
      <c r="I50" s="2">
        <v>31.9</v>
      </c>
      <c r="J50" s="2">
        <v>0.38</v>
      </c>
      <c r="K50" s="2">
        <v>1</v>
      </c>
      <c r="L5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0" s="2">
        <f>1000000/1000/9.81/IF(Table1[[#This Row],[Dam height (m)]]="",10,Table1[[#This Row],[Dam height (m)]])*3600</f>
        <v>36697.247706422015</v>
      </c>
      <c r="N5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50" s="10">
        <v>-7.6666999999999996</v>
      </c>
      <c r="P50" s="10">
        <v>28.166699999999999</v>
      </c>
      <c r="Q50" s="12">
        <v>726</v>
      </c>
      <c r="R50" s="12">
        <v>23.5</v>
      </c>
      <c r="S50" s="12">
        <f t="shared" si="11"/>
        <v>10.399999999999999</v>
      </c>
      <c r="T50" s="12">
        <f t="shared" si="12"/>
        <v>2.1000000000000014</v>
      </c>
      <c r="U50" s="12">
        <f>Table1[[#This Row],[Average temperature (°C)]]+0.006*Table1[[#This Row],[Average Country Elevation]]</f>
        <v>27.856000000000002</v>
      </c>
      <c r="V50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50" s="14">
        <f>(700*Table1[[#This Row],[Tm]]/(100-Table1[[#This Row],[Decimal degree latitude]])+15*Table1[[#This Row],[T-Td]])/(80-Table1[[#This Row],[Average temperature (°C)]])*365</f>
        <v>1723.4722762043966</v>
      </c>
    </row>
    <row r="51" spans="1:23" x14ac:dyDescent="0.25">
      <c r="A51" s="2" t="s">
        <v>54</v>
      </c>
      <c r="B51" s="2" t="s">
        <v>176</v>
      </c>
      <c r="C51" s="2" t="s">
        <v>62</v>
      </c>
      <c r="D51" s="2" t="s">
        <v>50</v>
      </c>
      <c r="E51" s="2">
        <v>1959</v>
      </c>
      <c r="F51" s="2">
        <v>15</v>
      </c>
      <c r="G51" s="2">
        <v>1.46</v>
      </c>
      <c r="H51" s="2">
        <v>0.26</v>
      </c>
      <c r="I51" s="2">
        <v>30</v>
      </c>
      <c r="J51" s="2">
        <v>0.38</v>
      </c>
      <c r="K51" s="2">
        <v>1</v>
      </c>
      <c r="L5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1" s="2">
        <f>1000000/1000/9.81/IF(Table1[[#This Row],[Dam height (m)]]="",10,Table1[[#This Row],[Dam height (m)]])*3600</f>
        <v>24464.831804281344</v>
      </c>
      <c r="N51" s="3">
        <f>(Table1[[#This Row],[Reservoir area (km2)]]*1000000*Table1[[#This Row],[Eo (mm/year)]]/1000)/Table1[[#This Row],[Hydroelectricity (MW)]]/8760*Table1[[#This Row],[Water consumption allocation]]/Table1[[#This Row],[CF]]</f>
        <v>4.6409521765330783</v>
      </c>
      <c r="O51" s="2">
        <v>-2.4911110000000001</v>
      </c>
      <c r="P51" s="2">
        <v>28.892778</v>
      </c>
      <c r="Q51" s="12">
        <v>726</v>
      </c>
      <c r="R51" s="12">
        <v>23.5</v>
      </c>
      <c r="S51" s="12">
        <f t="shared" si="11"/>
        <v>10.399999999999999</v>
      </c>
      <c r="T51" s="12">
        <f t="shared" si="12"/>
        <v>2.1000000000000014</v>
      </c>
      <c r="U51" s="12">
        <f>Table1[[#This Row],[Average temperature (°C)]]+0.006*Table1[[#This Row],[Average Country Elevation]]</f>
        <v>27.856000000000002</v>
      </c>
      <c r="V51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51" s="14">
        <f>(700*Table1[[#This Row],[Tm]]/(100-Table1[[#This Row],[Decimal degree latitude]])+15*Table1[[#This Row],[T-Td]])/(80-Table1[[#This Row],[Average temperature (°C)]])*365</f>
        <v>1782.5540313742283</v>
      </c>
    </row>
    <row r="52" spans="1:23" x14ac:dyDescent="0.25">
      <c r="A52" s="2" t="s">
        <v>54</v>
      </c>
      <c r="B52" s="2" t="s">
        <v>59</v>
      </c>
      <c r="C52" s="2" t="s">
        <v>171</v>
      </c>
      <c r="D52" s="2" t="s">
        <v>50</v>
      </c>
      <c r="E52" s="2"/>
      <c r="F52" s="2">
        <v>20</v>
      </c>
      <c r="G52" s="2"/>
      <c r="H52" s="2"/>
      <c r="I52" s="2">
        <v>11.1</v>
      </c>
      <c r="J52" s="2">
        <v>0.38</v>
      </c>
      <c r="K52" s="2">
        <v>1</v>
      </c>
      <c r="L5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2" s="2">
        <f>1000000/1000/9.81/IF(Table1[[#This Row],[Dam height (m)]]="",10,Table1[[#This Row],[Dam height (m)]])*3600</f>
        <v>18348.623853211007</v>
      </c>
      <c r="N5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52" s="9">
        <v>4.3069930000000003</v>
      </c>
      <c r="P52" s="9">
        <v>21.185901000000001</v>
      </c>
      <c r="Q52" s="12">
        <v>726</v>
      </c>
      <c r="R52" s="12">
        <v>23.5</v>
      </c>
      <c r="S52" s="12">
        <f t="shared" si="11"/>
        <v>10.399999999999999</v>
      </c>
      <c r="T52" s="12">
        <f t="shared" si="12"/>
        <v>2.1000000000000014</v>
      </c>
      <c r="U52" s="12">
        <f>Table1[[#This Row],[Average temperature (°C)]]+0.006*Table1[[#This Row],[Average Country Elevation]]</f>
        <v>27.856000000000002</v>
      </c>
      <c r="V52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W52" s="14">
        <f>(700*Table1[[#This Row],[Tm]]/(100-Table1[[#This Row],[Decimal degree latitude]])+15*Table1[[#This Row],[T-Td]])/(80-Table1[[#This Row],[Average temperature (°C)]])*365</f>
        <v>1869.8677755601045</v>
      </c>
    </row>
    <row r="53" spans="1:23" x14ac:dyDescent="0.25">
      <c r="A53" s="2" t="s">
        <v>24</v>
      </c>
      <c r="B53" s="2" t="s">
        <v>75</v>
      </c>
      <c r="C53" s="2" t="s">
        <v>70</v>
      </c>
      <c r="D53" s="2" t="s">
        <v>71</v>
      </c>
      <c r="E53" s="2">
        <v>1970</v>
      </c>
      <c r="F53" s="2">
        <v>111</v>
      </c>
      <c r="G53" s="2">
        <v>162000</v>
      </c>
      <c r="H53" s="2">
        <v>5239.38</v>
      </c>
      <c r="I53" s="2">
        <v>2100</v>
      </c>
      <c r="J53" s="2">
        <v>0.54</v>
      </c>
      <c r="K53" s="2">
        <v>3</v>
      </c>
      <c r="L5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0.59399999999999997</v>
      </c>
      <c r="M53" s="2">
        <f>1000000/1000/9.81/IF(Table1[[#This Row],[Dam height (m)]]="",10,Table1[[#This Row],[Dam height (m)]])*3600</f>
        <v>3306.0583519299116</v>
      </c>
      <c r="N53" s="3">
        <f>(Table1[[#This Row],[Reservoir area (km2)]]*1000000*Table1[[#This Row],[Eo (mm/year)]]/1000)/Table1[[#This Row],[Hydroelectricity (MW)]]/8760*Table1[[#This Row],[Water consumption allocation]]/Table1[[#This Row],[CF]]</f>
        <v>699.78971196082159</v>
      </c>
      <c r="O53" s="2">
        <v>23.97111111111111</v>
      </c>
      <c r="P53" s="2">
        <v>32.87916666666667</v>
      </c>
      <c r="Q53" s="12">
        <v>321</v>
      </c>
      <c r="R53" s="12">
        <v>21.7</v>
      </c>
      <c r="S53" s="12">
        <f>27.8-16.1</f>
        <v>11.7</v>
      </c>
      <c r="T53" s="12">
        <f>28.4-13.5</f>
        <v>14.899999999999999</v>
      </c>
      <c r="U53" s="12">
        <f>Table1[[#This Row],[Average temperature (°C)]]+0.006*Table1[[#This Row],[Average Country Elevation]]</f>
        <v>23.625999999999998</v>
      </c>
      <c r="V53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W53" s="14">
        <f>(700*Table1[[#This Row],[Tm]]/(100-Table1[[#This Row],[Decimal degree latitude]])+15*Table1[[#This Row],[T-Td]])/(80-Table1[[#This Row],[Average temperature (°C)]])*365</f>
        <v>2233.6667074819188</v>
      </c>
    </row>
    <row r="54" spans="1:23" x14ac:dyDescent="0.25">
      <c r="A54" s="2" t="s">
        <v>24</v>
      </c>
      <c r="B54" s="2" t="s">
        <v>74</v>
      </c>
      <c r="C54" s="2" t="s">
        <v>70</v>
      </c>
      <c r="D54" s="2" t="s">
        <v>71</v>
      </c>
      <c r="E54" s="2">
        <v>1933</v>
      </c>
      <c r="F54" s="2">
        <v>53</v>
      </c>
      <c r="G54" s="2">
        <v>5000</v>
      </c>
      <c r="H54" s="2">
        <v>8.99</v>
      </c>
      <c r="I54" s="2">
        <v>592</v>
      </c>
      <c r="J54" s="2">
        <v>0.54</v>
      </c>
      <c r="K54" s="2">
        <v>2</v>
      </c>
      <c r="L5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M54" s="2">
        <f>1000000/1000/9.81/IF(Table1[[#This Row],[Dam height (m)]]="",10,Table1[[#This Row],[Dam height (m)]])*3600</f>
        <v>6924.0090012117016</v>
      </c>
      <c r="N54" s="3">
        <f>(Table1[[#This Row],[Reservoir area (km2)]]*1000000*Table1[[#This Row],[Eo (mm/year)]]/1000)/Table1[[#This Row],[Hydroelectricity (MW)]]/8760*Table1[[#This Row],[Water consumption allocation]]/Table1[[#This Row],[CF]]</f>
        <v>6.9805105719896794</v>
      </c>
      <c r="O54" s="2">
        <v>24.033055555555556</v>
      </c>
      <c r="P54" s="2">
        <v>32.86611111111111</v>
      </c>
      <c r="Q54" s="12">
        <v>321</v>
      </c>
      <c r="R54" s="12">
        <v>21.7</v>
      </c>
      <c r="S54" s="12">
        <f t="shared" ref="S54:S56" si="13">27.8-16.1</f>
        <v>11.7</v>
      </c>
      <c r="T54" s="12">
        <f t="shared" ref="T54:T56" si="14">28.4-13.5</f>
        <v>14.899999999999999</v>
      </c>
      <c r="U54" s="12">
        <f>Table1[[#This Row],[Average temperature (°C)]]+0.006*Table1[[#This Row],[Average Country Elevation]]</f>
        <v>23.625999999999998</v>
      </c>
      <c r="V54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W54" s="14">
        <f>(700*Table1[[#This Row],[Tm]]/(100-Table1[[#This Row],[Decimal degree latitude]])+15*Table1[[#This Row],[T-Td]])/(80-Table1[[#This Row],[Average temperature (°C)]])*365</f>
        <v>2234.7771897021667</v>
      </c>
    </row>
    <row r="55" spans="1:23" x14ac:dyDescent="0.25">
      <c r="A55" s="2" t="s">
        <v>24</v>
      </c>
      <c r="B55" s="2" t="s">
        <v>73</v>
      </c>
      <c r="C55" s="2" t="s">
        <v>70</v>
      </c>
      <c r="D55" s="2" t="s">
        <v>71</v>
      </c>
      <c r="E55" s="2">
        <v>1994</v>
      </c>
      <c r="F55" s="2">
        <v>5.7</v>
      </c>
      <c r="G55" s="2"/>
      <c r="H55" s="2"/>
      <c r="I55" s="2">
        <v>86</v>
      </c>
      <c r="J55" s="2">
        <v>0.54</v>
      </c>
      <c r="K55" s="2">
        <v>3</v>
      </c>
      <c r="L5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55" s="2">
        <f>1000000/1000/9.81/IF(Table1[[#This Row],[Dam height (m)]]="",10,Table1[[#This Row],[Dam height (m)]])*3600</f>
        <v>64381.136327056171</v>
      </c>
      <c r="N5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55" s="2">
        <v>25.317499999999999</v>
      </c>
      <c r="P55" s="2">
        <v>32.557222222222222</v>
      </c>
      <c r="Q55" s="12">
        <v>321</v>
      </c>
      <c r="R55" s="12">
        <v>21.7</v>
      </c>
      <c r="S55" s="12">
        <f t="shared" si="13"/>
        <v>11.7</v>
      </c>
      <c r="T55" s="12">
        <f t="shared" si="14"/>
        <v>14.899999999999999</v>
      </c>
      <c r="U55" s="12">
        <f>Table1[[#This Row],[Average temperature (°C)]]+0.006*Table1[[#This Row],[Average Country Elevation]]</f>
        <v>23.625999999999998</v>
      </c>
      <c r="V55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W55" s="14">
        <f>(700*Table1[[#This Row],[Tm]]/(100-Table1[[#This Row],[Decimal degree latitude]])+15*Table1[[#This Row],[T-Td]])/(80-Table1[[#This Row],[Average temperature (°C)]])*365</f>
        <v>2258.2186340858398</v>
      </c>
    </row>
    <row r="56" spans="1:23" x14ac:dyDescent="0.25">
      <c r="A56" s="2" t="s">
        <v>24</v>
      </c>
      <c r="B56" s="2" t="s">
        <v>72</v>
      </c>
      <c r="C56" s="2" t="s">
        <v>70</v>
      </c>
      <c r="D56" s="2" t="s">
        <v>71</v>
      </c>
      <c r="E56" s="2">
        <v>2008</v>
      </c>
      <c r="F56" s="2">
        <v>5.56</v>
      </c>
      <c r="G56" s="2"/>
      <c r="H56" s="2"/>
      <c r="I56" s="2">
        <v>64</v>
      </c>
      <c r="J56" s="2">
        <v>0.54</v>
      </c>
      <c r="K56" s="2">
        <v>1</v>
      </c>
      <c r="L5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6" s="2">
        <f>1000000/1000/9.81/IF(Table1[[#This Row],[Dam height (m)]]="",10,Table1[[#This Row],[Dam height (m)]])*3600</f>
        <v>66002.244076298593</v>
      </c>
      <c r="N5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56" s="2">
        <v>26.152202170212998</v>
      </c>
      <c r="P56" s="2">
        <v>32.169444444444444</v>
      </c>
      <c r="Q56" s="12">
        <v>321</v>
      </c>
      <c r="R56" s="12">
        <v>21.7</v>
      </c>
      <c r="S56" s="12">
        <f t="shared" si="13"/>
        <v>11.7</v>
      </c>
      <c r="T56" s="12">
        <f t="shared" si="14"/>
        <v>14.899999999999999</v>
      </c>
      <c r="U56" s="12">
        <f>Table1[[#This Row],[Average temperature (°C)]]+0.006*Table1[[#This Row],[Average Country Elevation]]</f>
        <v>23.625999999999998</v>
      </c>
      <c r="V56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W56" s="14">
        <f>(700*Table1[[#This Row],[Tm]]/(100-Table1[[#This Row],[Decimal degree latitude]])+15*Table1[[#This Row],[T-Td]])/(80-Table1[[#This Row],[Average temperature (°C)]])*365</f>
        <v>2273.8893087875958</v>
      </c>
    </row>
    <row r="57" spans="1:23" x14ac:dyDescent="0.25">
      <c r="A57" s="2" t="s">
        <v>21</v>
      </c>
      <c r="B57" s="2" t="s">
        <v>65</v>
      </c>
      <c r="C57" s="2" t="s">
        <v>201</v>
      </c>
      <c r="D57" s="2" t="s">
        <v>45</v>
      </c>
      <c r="E57" s="2">
        <v>2008</v>
      </c>
      <c r="F57" s="2">
        <v>22</v>
      </c>
      <c r="G57" s="2"/>
      <c r="H57" s="2">
        <v>0.85</v>
      </c>
      <c r="I57" s="2">
        <v>128</v>
      </c>
      <c r="J57" s="2">
        <v>0.11</v>
      </c>
      <c r="K57" s="2">
        <v>1</v>
      </c>
      <c r="L5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7" s="2">
        <f>1000000/1000/9.81/IF(Table1[[#This Row],[Dam height (m)]]="",10,Table1[[#This Row],[Dam height (m)]])*3600</f>
        <v>16680.567139282735</v>
      </c>
      <c r="N57" s="3">
        <f>(Table1[[#This Row],[Reservoir area (km2)]]*1000000*Table1[[#This Row],[Eo (mm/year)]]/1000)/Table1[[#This Row],[Hydroelectricity (MW)]]/8760*Table1[[#This Row],[Water consumption allocation]]/Table1[[#This Row],[CF]]</f>
        <v>12.503646798716625</v>
      </c>
      <c r="O57" s="2">
        <v>1.6338060000000001</v>
      </c>
      <c r="P57" s="2">
        <v>10.824764</v>
      </c>
      <c r="Q57" s="12">
        <v>577</v>
      </c>
      <c r="R57" s="12">
        <v>24.4</v>
      </c>
      <c r="S57" s="12">
        <f>29.2-19.8</f>
        <v>9.3999999999999986</v>
      </c>
      <c r="T57" s="12">
        <f>25.3-23.1</f>
        <v>2.1999999999999993</v>
      </c>
      <c r="U57" s="12">
        <f>Table1[[#This Row],[Average temperature (°C)]]+0.006*Table1[[#This Row],[Average Country Elevation]]</f>
        <v>27.861999999999998</v>
      </c>
      <c r="V57" s="12">
        <f>0.0023*Table1[[#This Row],[Average Country Elevation]]+0.37*Table1[[#This Row],[Average temperature (°C)]]+0.53*Table1[[#This Row],[Average Range]]+0.35*Table1[[#This Row],[Average range hot-cold]]-10.9</f>
        <v>5.2070999999999987</v>
      </c>
      <c r="W57" s="14">
        <f>(700*Table1[[#This Row],[Tm]]/(100-Table1[[#This Row],[Decimal degree latitude]])+15*Table1[[#This Row],[T-Td]])/(80-Table1[[#This Row],[Average temperature (°C)]])*365</f>
        <v>1814.3644694954678</v>
      </c>
    </row>
    <row r="58" spans="1:23" x14ac:dyDescent="0.25">
      <c r="A58" s="2" t="s">
        <v>25</v>
      </c>
      <c r="B58" s="2" t="s">
        <v>83</v>
      </c>
      <c r="C58" s="2" t="s">
        <v>203</v>
      </c>
      <c r="D58" s="2" t="s">
        <v>86</v>
      </c>
      <c r="E58" s="2">
        <v>2004</v>
      </c>
      <c r="F58" s="2">
        <v>243</v>
      </c>
      <c r="G58" s="2">
        <v>14700</v>
      </c>
      <c r="H58" s="2">
        <v>147.94</v>
      </c>
      <c r="I58" s="2">
        <v>1870</v>
      </c>
      <c r="J58" s="2">
        <v>0.25</v>
      </c>
      <c r="K58" s="2">
        <v>1</v>
      </c>
      <c r="L5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8" s="2">
        <f>1000000/1000/9.81/IF(Table1[[#This Row],[Dam height (m)]]="",10,Table1[[#This Row],[Dam height (m)]])*3600</f>
        <v>1510.1748027334163</v>
      </c>
      <c r="N58" s="3">
        <f>(Table1[[#This Row],[Reservoir area (km2)]]*1000000*Table1[[#This Row],[Eo (mm/year)]]/1000)/Table1[[#This Row],[Hydroelectricity (MW)]]/8760*Table1[[#This Row],[Water consumption allocation]]/Table1[[#This Row],[CF]]</f>
        <v>66.104925414106148</v>
      </c>
      <c r="O58" s="2">
        <v>6.8440000000000003</v>
      </c>
      <c r="P58" s="2">
        <v>37.301000000000002</v>
      </c>
      <c r="Q58" s="12">
        <v>1330</v>
      </c>
      <c r="R58" s="12">
        <v>19.3</v>
      </c>
      <c r="S58" s="12">
        <f>25.8-13.9</f>
        <v>11.9</v>
      </c>
      <c r="T58" s="12">
        <f>20.7-17.8</f>
        <v>2.8999999999999986</v>
      </c>
      <c r="U58" s="12">
        <f>Table1[[#This Row],[Average temperature (°C)]]+0.006*Table1[[#This Row],[Average Country Elevation]]</f>
        <v>27.28</v>
      </c>
      <c r="V58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58" s="14">
        <f>(700*Table1[[#This Row],[Tm]]/(100-Table1[[#This Row],[Decimal degree latitude]])+15*Table1[[#This Row],[T-Td]])/(80-Table1[[#This Row],[Average temperature (°C)]])*365</f>
        <v>1829.9276804676822</v>
      </c>
    </row>
    <row r="59" spans="1:23" x14ac:dyDescent="0.25">
      <c r="A59" s="2" t="s">
        <v>25</v>
      </c>
      <c r="B59" s="2" t="s">
        <v>87</v>
      </c>
      <c r="C59" s="2" t="s">
        <v>79</v>
      </c>
      <c r="D59" s="2" t="s">
        <v>71</v>
      </c>
      <c r="E59" s="2">
        <v>2010</v>
      </c>
      <c r="F59" s="2">
        <v>5</v>
      </c>
      <c r="G59" s="2"/>
      <c r="H59" s="2"/>
      <c r="I59" s="2">
        <v>460</v>
      </c>
      <c r="J59" s="2">
        <v>0.25</v>
      </c>
      <c r="K59" s="2">
        <v>1</v>
      </c>
      <c r="L5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59" s="2">
        <f>1000000/1000/9.81/IF(Table1[[#This Row],[Dam height (m)]]="",10,Table1[[#This Row],[Dam height (m)]])*3600</f>
        <v>73394.495412844029</v>
      </c>
      <c r="N5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59" s="2">
        <v>11.68</v>
      </c>
      <c r="P59" s="2">
        <v>37.21</v>
      </c>
      <c r="Q59" s="12">
        <v>1330</v>
      </c>
      <c r="R59" s="12">
        <v>19.3</v>
      </c>
      <c r="S59" s="12">
        <f t="shared" ref="S59:S69" si="15">25.8-13.9</f>
        <v>11.9</v>
      </c>
      <c r="T59" s="12">
        <f t="shared" ref="T59:T69" si="16">20.7-17.8</f>
        <v>2.8999999999999986</v>
      </c>
      <c r="U59" s="12">
        <f>Table1[[#This Row],[Average temperature (°C)]]+0.006*Table1[[#This Row],[Average Country Elevation]]</f>
        <v>27.28</v>
      </c>
      <c r="V59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59" s="14">
        <f>(700*Table1[[#This Row],[Tm]]/(100-Table1[[#This Row],[Decimal degree latitude]])+15*Table1[[#This Row],[T-Td]])/(80-Table1[[#This Row],[Average temperature (°C)]])*365</f>
        <v>1897.4213404006398</v>
      </c>
    </row>
    <row r="60" spans="1:23" x14ac:dyDescent="0.25">
      <c r="A60" s="2" t="s">
        <v>25</v>
      </c>
      <c r="B60" s="2" t="s">
        <v>82</v>
      </c>
      <c r="C60" s="2" t="s">
        <v>203</v>
      </c>
      <c r="D60" s="2" t="s">
        <v>86</v>
      </c>
      <c r="E60" s="2">
        <v>2004</v>
      </c>
      <c r="F60" s="2">
        <v>46</v>
      </c>
      <c r="G60" s="2"/>
      <c r="H60" s="2">
        <v>0.16</v>
      </c>
      <c r="I60" s="2">
        <v>420</v>
      </c>
      <c r="J60" s="2">
        <v>0.25</v>
      </c>
      <c r="K60" s="2">
        <v>1</v>
      </c>
      <c r="L6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0" s="2">
        <f>1000000/1000/9.81/IF(Table1[[#This Row],[Dam height (m)]]="",10,Table1[[#This Row],[Dam height (m)]])*3600</f>
        <v>7977.6625448743507</v>
      </c>
      <c r="N60" s="3">
        <f>(Table1[[#This Row],[Reservoir area (km2)]]*1000000*Table1[[#This Row],[Eo (mm/year)]]/1000)/Table1[[#This Row],[Hydroelectricity (MW)]]/8760*Table1[[#This Row],[Water consumption allocation]]/Table1[[#This Row],[CF]]</f>
        <v>0.32083961903567032</v>
      </c>
      <c r="O60" s="2">
        <v>7.9270209999999999</v>
      </c>
      <c r="P60" s="2">
        <v>37.389549000000002</v>
      </c>
      <c r="Q60" s="12">
        <v>1330</v>
      </c>
      <c r="R60" s="12">
        <v>19.3</v>
      </c>
      <c r="S60" s="12">
        <f t="shared" si="15"/>
        <v>11.9</v>
      </c>
      <c r="T60" s="12">
        <f t="shared" si="16"/>
        <v>2.8999999999999986</v>
      </c>
      <c r="U60" s="12">
        <f>Table1[[#This Row],[Average temperature (°C)]]+0.006*Table1[[#This Row],[Average Country Elevation]]</f>
        <v>27.28</v>
      </c>
      <c r="V60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0" s="14">
        <f>(700*Table1[[#This Row],[Tm]]/(100-Table1[[#This Row],[Decimal degree latitude]])+15*Table1[[#This Row],[T-Td]])/(80-Table1[[#This Row],[Average temperature (°C)]])*365</f>
        <v>1844.42675993131</v>
      </c>
    </row>
    <row r="61" spans="1:23" x14ac:dyDescent="0.25">
      <c r="A61" s="2" t="s">
        <v>25</v>
      </c>
      <c r="B61" s="2" t="s">
        <v>88</v>
      </c>
      <c r="C61" s="2" t="s">
        <v>88</v>
      </c>
      <c r="D61" s="2" t="s">
        <v>86</v>
      </c>
      <c r="E61" s="2">
        <v>2009</v>
      </c>
      <c r="F61" s="2">
        <v>185</v>
      </c>
      <c r="G61" s="2">
        <v>9000</v>
      </c>
      <c r="H61" s="2">
        <v>131.72999999999999</v>
      </c>
      <c r="I61" s="2">
        <v>300</v>
      </c>
      <c r="J61" s="2">
        <v>0.25</v>
      </c>
      <c r="K61" s="2">
        <v>1</v>
      </c>
      <c r="L6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1" s="2">
        <f>1000000/1000/9.81/IF(Table1[[#This Row],[Dam height (m)]]="",10,Table1[[#This Row],[Dam height (m)]])*3600</f>
        <v>1983.635011157947</v>
      </c>
      <c r="N61" s="3">
        <f>(Table1[[#This Row],[Reservoir area (km2)]]*1000000*Table1[[#This Row],[Eo (mm/year)]]/1000)/Table1[[#This Row],[Hydroelectricity (MW)]]/8760*Table1[[#This Row],[Water consumption allocation]]/Table1[[#This Row],[CF]]</f>
        <v>385.45310317338595</v>
      </c>
      <c r="O61" s="2">
        <v>13.347303999999999</v>
      </c>
      <c r="P61" s="2">
        <v>38.743026999999998</v>
      </c>
      <c r="Q61" s="12">
        <v>1330</v>
      </c>
      <c r="R61" s="12">
        <v>19.3</v>
      </c>
      <c r="S61" s="12">
        <f t="shared" si="15"/>
        <v>11.9</v>
      </c>
      <c r="T61" s="12">
        <f t="shared" si="16"/>
        <v>2.8999999999999986</v>
      </c>
      <c r="U61" s="12">
        <f>Table1[[#This Row],[Average temperature (°C)]]+0.006*Table1[[#This Row],[Average Country Elevation]]</f>
        <v>27.28</v>
      </c>
      <c r="V61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1" s="14">
        <f>(700*Table1[[#This Row],[Tm]]/(100-Table1[[#This Row],[Decimal degree latitude]])+15*Table1[[#This Row],[T-Td]])/(80-Table1[[#This Row],[Average temperature (°C)]])*365</f>
        <v>1922.4374765422804</v>
      </c>
    </row>
    <row r="62" spans="1:23" x14ac:dyDescent="0.25">
      <c r="A62" s="2" t="s">
        <v>25</v>
      </c>
      <c r="B62" s="2" t="s">
        <v>90</v>
      </c>
      <c r="C62" s="2" t="s">
        <v>91</v>
      </c>
      <c r="D62" s="2" t="s">
        <v>86</v>
      </c>
      <c r="E62" s="2">
        <v>2017</v>
      </c>
      <c r="F62" s="2">
        <v>110</v>
      </c>
      <c r="G62" s="2" t="s">
        <v>48</v>
      </c>
      <c r="H62" s="2"/>
      <c r="I62" s="2">
        <v>254</v>
      </c>
      <c r="J62" s="2">
        <v>0.25</v>
      </c>
      <c r="K62" s="2">
        <v>1</v>
      </c>
      <c r="L6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2" s="2">
        <f>1000000/1000/9.81/IF(Table1[[#This Row],[Dam height (m)]]="",10,Table1[[#This Row],[Dam height (m)]])*3600</f>
        <v>3336.1134278565469</v>
      </c>
      <c r="N6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62" s="2">
        <v>5.51</v>
      </c>
      <c r="P62" s="2">
        <v>39.718000000000004</v>
      </c>
      <c r="Q62" s="12">
        <v>1330</v>
      </c>
      <c r="R62" s="12">
        <v>19.3</v>
      </c>
      <c r="S62" s="12">
        <f t="shared" si="15"/>
        <v>11.9</v>
      </c>
      <c r="T62" s="12">
        <f t="shared" si="16"/>
        <v>2.8999999999999986</v>
      </c>
      <c r="U62" s="12">
        <f>Table1[[#This Row],[Average temperature (°C)]]+0.006*Table1[[#This Row],[Average Country Elevation]]</f>
        <v>27.28</v>
      </c>
      <c r="V62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2" s="14">
        <f>(700*Table1[[#This Row],[Tm]]/(100-Table1[[#This Row],[Decimal degree latitude]])+15*Table1[[#This Row],[T-Td]])/(80-Table1[[#This Row],[Average temperature (°C)]])*365</f>
        <v>1812.5254174713712</v>
      </c>
    </row>
    <row r="63" spans="1:23" x14ac:dyDescent="0.25">
      <c r="A63" s="2" t="s">
        <v>25</v>
      </c>
      <c r="B63" s="2" t="s">
        <v>81</v>
      </c>
      <c r="C63" s="2" t="s">
        <v>203</v>
      </c>
      <c r="D63" s="2" t="s">
        <v>86</v>
      </c>
      <c r="E63" s="2">
        <v>2004</v>
      </c>
      <c r="F63" s="2">
        <v>40</v>
      </c>
      <c r="G63" s="2">
        <v>917</v>
      </c>
      <c r="H63" s="2">
        <v>48.31</v>
      </c>
      <c r="I63" s="2">
        <v>192</v>
      </c>
      <c r="J63" s="2">
        <v>0.25</v>
      </c>
      <c r="K63" s="2">
        <v>1</v>
      </c>
      <c r="L6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3" s="2">
        <f>1000000/1000/9.81/IF(Table1[[#This Row],[Dam height (m)]]="",10,Table1[[#This Row],[Dam height (m)]])*3600</f>
        <v>9174.3119266055037</v>
      </c>
      <c r="N63" s="3">
        <f>(Table1[[#This Row],[Reservoir area (km2)]]*1000000*Table1[[#This Row],[Eo (mm/year)]]/1000)/Table1[[#This Row],[Hydroelectricity (MW)]]/8760*Table1[[#This Row],[Water consumption allocation]]/Table1[[#This Row],[CF]]</f>
        <v>211.91388837985477</v>
      </c>
      <c r="O63" s="2">
        <v>7.9290000000000003</v>
      </c>
      <c r="P63" s="2">
        <v>37.390999999999998</v>
      </c>
      <c r="Q63" s="12">
        <v>1330</v>
      </c>
      <c r="R63" s="12">
        <v>19.3</v>
      </c>
      <c r="S63" s="12">
        <f t="shared" si="15"/>
        <v>11.9</v>
      </c>
      <c r="T63" s="12">
        <f t="shared" si="16"/>
        <v>2.8999999999999986</v>
      </c>
      <c r="U63" s="12">
        <f>Table1[[#This Row],[Average temperature (°C)]]+0.006*Table1[[#This Row],[Average Country Elevation]]</f>
        <v>27.28</v>
      </c>
      <c r="V63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3" s="14">
        <f>(700*Table1[[#This Row],[Tm]]/(100-Table1[[#This Row],[Decimal degree latitude]])+15*Table1[[#This Row],[T-Td]])/(80-Table1[[#This Row],[Average temperature (°C)]])*365</f>
        <v>1844.4535662587732</v>
      </c>
    </row>
    <row r="64" spans="1:23" x14ac:dyDescent="0.25">
      <c r="A64" s="2" t="s">
        <v>25</v>
      </c>
      <c r="B64" s="2" t="s">
        <v>84</v>
      </c>
      <c r="C64" s="2" t="s">
        <v>85</v>
      </c>
      <c r="D64" s="2" t="s">
        <v>86</v>
      </c>
      <c r="E64" s="2">
        <v>1960</v>
      </c>
      <c r="F64" s="2">
        <v>40</v>
      </c>
      <c r="G64" s="2">
        <v>750</v>
      </c>
      <c r="H64" s="2">
        <v>64.680000000000007</v>
      </c>
      <c r="I64" s="2">
        <v>153</v>
      </c>
      <c r="J64" s="2">
        <v>0.25</v>
      </c>
      <c r="K64" s="2">
        <v>1</v>
      </c>
      <c r="L6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4" s="2">
        <f>1000000/1000/9.81/IF(Table1[[#This Row],[Dam height (m)]]="",10,Table1[[#This Row],[Dam height (m)]])*3600</f>
        <v>9174.3119266055037</v>
      </c>
      <c r="N64" s="3">
        <f>(Table1[[#This Row],[Reservoir area (km2)]]*1000000*Table1[[#This Row],[Eo (mm/year)]]/1000)/Table1[[#This Row],[Hydroelectricity (MW)]]/8760*Table1[[#This Row],[Water consumption allocation]]/Table1[[#This Row],[CF]]</f>
        <v>354.09011501093113</v>
      </c>
      <c r="O64" s="2">
        <v>7.1761111111111111</v>
      </c>
      <c r="P64" s="2">
        <v>39.431111111111107</v>
      </c>
      <c r="Q64" s="12">
        <v>1330</v>
      </c>
      <c r="R64" s="12">
        <v>19.3</v>
      </c>
      <c r="S64" s="12">
        <f t="shared" si="15"/>
        <v>11.9</v>
      </c>
      <c r="T64" s="12">
        <f t="shared" si="16"/>
        <v>2.8999999999999986</v>
      </c>
      <c r="U64" s="12">
        <f>Table1[[#This Row],[Average temperature (°C)]]+0.006*Table1[[#This Row],[Average Country Elevation]]</f>
        <v>27.28</v>
      </c>
      <c r="V64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4" s="14">
        <f>(700*Table1[[#This Row],[Tm]]/(100-Table1[[#This Row],[Decimal degree latitude]])+15*Table1[[#This Row],[T-Td]])/(80-Table1[[#This Row],[Average temperature (°C)]])*365</f>
        <v>1834.3378917240675</v>
      </c>
    </row>
    <row r="65" spans="1:23" x14ac:dyDescent="0.25">
      <c r="A65" s="2" t="s">
        <v>25</v>
      </c>
      <c r="B65" s="2" t="s">
        <v>78</v>
      </c>
      <c r="C65" s="2" t="s">
        <v>78</v>
      </c>
      <c r="D65" s="2" t="s">
        <v>71</v>
      </c>
      <c r="E65" s="2">
        <v>1973</v>
      </c>
      <c r="F65" s="2">
        <v>25</v>
      </c>
      <c r="G65" s="2">
        <v>650</v>
      </c>
      <c r="H65" s="2">
        <v>236.07</v>
      </c>
      <c r="I65" s="2">
        <v>134</v>
      </c>
      <c r="J65" s="2">
        <v>0.25</v>
      </c>
      <c r="K65" s="2">
        <v>1</v>
      </c>
      <c r="L6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5" s="2">
        <f>1000000/1000/9.81/IF(Table1[[#This Row],[Dam height (m)]]="",10,Table1[[#This Row],[Dam height (m)]])*3600</f>
        <v>14678.899082568807</v>
      </c>
      <c r="N65" s="3">
        <f>(Table1[[#This Row],[Reservoir area (km2)]]*1000000*Table1[[#This Row],[Eo (mm/year)]]/1000)/Table1[[#This Row],[Hydroelectricity (MW)]]/8760*Table1[[#This Row],[Water consumption allocation]]/Table1[[#This Row],[CF]]</f>
        <v>1501.8171540270516</v>
      </c>
      <c r="O65" s="2">
        <v>9.5580555555555566</v>
      </c>
      <c r="P65" s="2">
        <v>37.36611111111111</v>
      </c>
      <c r="Q65" s="12">
        <v>1330</v>
      </c>
      <c r="R65" s="12">
        <v>19.3</v>
      </c>
      <c r="S65" s="12">
        <f t="shared" si="15"/>
        <v>11.9</v>
      </c>
      <c r="T65" s="12">
        <f t="shared" si="16"/>
        <v>2.8999999999999986</v>
      </c>
      <c r="U65" s="12">
        <f>Table1[[#This Row],[Average temperature (°C)]]+0.006*Table1[[#This Row],[Average Country Elevation]]</f>
        <v>27.28</v>
      </c>
      <c r="V65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5" s="14">
        <f>(700*Table1[[#This Row],[Tm]]/(100-Table1[[#This Row],[Decimal degree latitude]])+15*Table1[[#This Row],[T-Td]])/(80-Table1[[#This Row],[Average temperature (°C)]])*365</f>
        <v>1866.9177024644328</v>
      </c>
    </row>
    <row r="66" spans="1:23" x14ac:dyDescent="0.25">
      <c r="A66" s="2" t="s">
        <v>25</v>
      </c>
      <c r="B66" s="2" t="s">
        <v>80</v>
      </c>
      <c r="C66" s="2" t="s">
        <v>78</v>
      </c>
      <c r="D66" s="2" t="s">
        <v>71</v>
      </c>
      <c r="E66" s="2">
        <v>1973</v>
      </c>
      <c r="F66" s="2">
        <v>38</v>
      </c>
      <c r="G66" s="2">
        <v>190</v>
      </c>
      <c r="H66" s="2">
        <v>236.07</v>
      </c>
      <c r="I66" s="2">
        <v>97</v>
      </c>
      <c r="J66" s="2">
        <v>0.25</v>
      </c>
      <c r="K66" s="2">
        <v>1</v>
      </c>
      <c r="L6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6" s="2">
        <f>1000000/1000/9.81/IF(Table1[[#This Row],[Dam height (m)]]="",10,Table1[[#This Row],[Dam height (m)]])*3600</f>
        <v>9657.1704490584252</v>
      </c>
      <c r="N66" s="3">
        <f>(Table1[[#This Row],[Reservoir area (km2)]]*1000000*Table1[[#This Row],[Eo (mm/year)]]/1000)/Table1[[#This Row],[Hydroelectricity (MW)]]/8760*Table1[[#This Row],[Water consumption allocation]]/Table1[[#This Row],[CF]]</f>
        <v>2059.8859941519345</v>
      </c>
      <c r="O66" s="2">
        <v>8.6</v>
      </c>
      <c r="P66" s="2">
        <v>35.733333000000002</v>
      </c>
      <c r="Q66" s="12">
        <v>1330</v>
      </c>
      <c r="R66" s="12">
        <v>19.3</v>
      </c>
      <c r="S66" s="12">
        <f t="shared" si="15"/>
        <v>11.9</v>
      </c>
      <c r="T66" s="12">
        <f t="shared" si="16"/>
        <v>2.8999999999999986</v>
      </c>
      <c r="U66" s="12">
        <f>Table1[[#This Row],[Average temperature (°C)]]+0.006*Table1[[#This Row],[Average Country Elevation]]</f>
        <v>27.28</v>
      </c>
      <c r="V66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6" s="14">
        <f>(700*Table1[[#This Row],[Tm]]/(100-Table1[[#This Row],[Decimal degree latitude]])+15*Table1[[#This Row],[T-Td]])/(80-Table1[[#This Row],[Average temperature (°C)]])*365</f>
        <v>1853.6094452395282</v>
      </c>
    </row>
    <row r="67" spans="1:23" x14ac:dyDescent="0.25">
      <c r="A67" s="2" t="s">
        <v>25</v>
      </c>
      <c r="B67" s="2" t="s">
        <v>89</v>
      </c>
      <c r="C67" s="2" t="s">
        <v>79</v>
      </c>
      <c r="D67" s="2" t="s">
        <v>71</v>
      </c>
      <c r="E67" s="2">
        <v>2001</v>
      </c>
      <c r="F67" s="2">
        <v>60</v>
      </c>
      <c r="G67" s="2"/>
      <c r="H67" s="2">
        <v>0.08</v>
      </c>
      <c r="I67" s="2">
        <v>86.5</v>
      </c>
      <c r="J67" s="2">
        <v>0.25</v>
      </c>
      <c r="K67" s="2">
        <v>1</v>
      </c>
      <c r="L6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7" s="2">
        <f>1000000/1000/9.81/IF(Table1[[#This Row],[Dam height (m)]]="",10,Table1[[#This Row],[Dam height (m)]])*3600</f>
        <v>6116.2079510703361</v>
      </c>
      <c r="N67" s="3">
        <f>(Table1[[#This Row],[Reservoir area (km2)]]*1000000*Table1[[#This Row],[Eo (mm/year)]]/1000)/Table1[[#This Row],[Hydroelectricity (MW)]]/8760*Table1[[#This Row],[Water consumption allocation]]/Table1[[#This Row],[CF]]</f>
        <v>0.80007695016942881</v>
      </c>
      <c r="O67" s="2">
        <v>11.4833</v>
      </c>
      <c r="P67" s="2">
        <v>37.5833333</v>
      </c>
      <c r="Q67" s="12">
        <v>1330</v>
      </c>
      <c r="R67" s="12">
        <v>19.3</v>
      </c>
      <c r="S67" s="12">
        <f t="shared" si="15"/>
        <v>11.9</v>
      </c>
      <c r="T67" s="12">
        <f t="shared" si="16"/>
        <v>2.8999999999999986</v>
      </c>
      <c r="U67" s="12">
        <f>Table1[[#This Row],[Average temperature (°C)]]+0.006*Table1[[#This Row],[Average Country Elevation]]</f>
        <v>27.28</v>
      </c>
      <c r="V67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7" s="14">
        <f>(700*Table1[[#This Row],[Tm]]/(100-Table1[[#This Row],[Decimal degree latitude]])+15*Table1[[#This Row],[T-Td]])/(80-Table1[[#This Row],[Average temperature (°C)]])*365</f>
        <v>1894.5322131918219</v>
      </c>
    </row>
    <row r="68" spans="1:23" x14ac:dyDescent="0.25">
      <c r="A68" s="2" t="s">
        <v>25</v>
      </c>
      <c r="B68" s="2" t="s">
        <v>77</v>
      </c>
      <c r="C68" s="2" t="s">
        <v>202</v>
      </c>
      <c r="D68" s="2" t="s">
        <v>86</v>
      </c>
      <c r="E68" s="2"/>
      <c r="F68" s="2">
        <v>5</v>
      </c>
      <c r="G68" s="2" t="s">
        <v>48</v>
      </c>
      <c r="H68" s="2">
        <v>0.03</v>
      </c>
      <c r="I68" s="2">
        <v>64</v>
      </c>
      <c r="J68" s="2">
        <v>0.25</v>
      </c>
      <c r="K68" s="2">
        <v>1</v>
      </c>
      <c r="L6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8" s="2">
        <f>1000000/1000/9.81/IF(Table1[[#This Row],[Dam height (m)]]="",10,Table1[[#This Row],[Dam height (m)]])*3600</f>
        <v>73394.495412844029</v>
      </c>
      <c r="N68" s="3">
        <f>(Table1[[#This Row],[Reservoir area (km2)]]*1000000*Table1[[#This Row],[Eo (mm/year)]]/1000)/Table1[[#This Row],[Hydroelectricity (MW)]]/8760*Table1[[#This Row],[Water consumption allocation]]/Table1[[#This Row],[CF]]</f>
        <v>0.39635699169565275</v>
      </c>
      <c r="O68" s="2">
        <v>8.4666999999999994</v>
      </c>
      <c r="P68" s="2">
        <v>39.352024</v>
      </c>
      <c r="Q68" s="12">
        <v>1330</v>
      </c>
      <c r="R68" s="12">
        <v>19.3</v>
      </c>
      <c r="S68" s="12">
        <f t="shared" si="15"/>
        <v>11.9</v>
      </c>
      <c r="T68" s="12">
        <f t="shared" si="16"/>
        <v>2.8999999999999986</v>
      </c>
      <c r="U68" s="12">
        <f>Table1[[#This Row],[Average temperature (°C)]]+0.006*Table1[[#This Row],[Average Country Elevation]]</f>
        <v>27.28</v>
      </c>
      <c r="V68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8" s="14">
        <f>(700*Table1[[#This Row],[Tm]]/(100-Table1[[#This Row],[Decimal degree latitude]])+15*Table1[[#This Row],[T-Td]])/(80-Table1[[#This Row],[Average temperature (°C)]])*365</f>
        <v>1851.7798652020897</v>
      </c>
    </row>
    <row r="69" spans="1:23" x14ac:dyDescent="0.25">
      <c r="A69" s="2" t="s">
        <v>25</v>
      </c>
      <c r="B69" s="2" t="s">
        <v>76</v>
      </c>
      <c r="C69" s="2" t="s">
        <v>202</v>
      </c>
      <c r="D69" s="2" t="s">
        <v>86</v>
      </c>
      <c r="E69" s="2"/>
      <c r="F69" s="2">
        <v>5</v>
      </c>
      <c r="G69" s="2" t="s">
        <v>48</v>
      </c>
      <c r="H69" s="2">
        <v>167.06</v>
      </c>
      <c r="I69" s="2">
        <v>43</v>
      </c>
      <c r="J69" s="2">
        <v>0.25</v>
      </c>
      <c r="K69" s="2">
        <v>1</v>
      </c>
      <c r="L6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69" s="2">
        <f>1000000/1000/9.81/IF(Table1[[#This Row],[Dam height (m)]]="",10,Table1[[#This Row],[Dam height (m)]])*3600</f>
        <v>73394.495412844029</v>
      </c>
      <c r="N69" s="3">
        <f>(Table1[[#This Row],[Reservoir area (km2)]]*1000000*Table1[[#This Row],[Eo (mm/year)]]/1000)/Table1[[#This Row],[Hydroelectricity (MW)]]/8760*Table1[[#This Row],[Water consumption allocation]]/Table1[[#This Row],[CF]]</f>
        <v>3285.1366763423543</v>
      </c>
      <c r="O69" s="2">
        <v>8.468</v>
      </c>
      <c r="P69" s="2">
        <v>39.155999999999999</v>
      </c>
      <c r="Q69" s="12">
        <v>1330</v>
      </c>
      <c r="R69" s="12">
        <v>19.3</v>
      </c>
      <c r="S69" s="12">
        <f t="shared" si="15"/>
        <v>11.9</v>
      </c>
      <c r="T69" s="12">
        <f t="shared" si="16"/>
        <v>2.8999999999999986</v>
      </c>
      <c r="U69" s="12">
        <f>Table1[[#This Row],[Average temperature (°C)]]+0.006*Table1[[#This Row],[Average Country Elevation]]</f>
        <v>27.28</v>
      </c>
      <c r="V69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W69" s="14">
        <f>(700*Table1[[#This Row],[Tm]]/(100-Table1[[#This Row],[Decimal degree latitude]])+15*Table1[[#This Row],[T-Td]])/(80-Table1[[#This Row],[Average temperature (°C)]])*365</f>
        <v>1851.7976823366423</v>
      </c>
    </row>
    <row r="70" spans="1:23" x14ac:dyDescent="0.25">
      <c r="A70" s="2" t="s">
        <v>22</v>
      </c>
      <c r="B70" s="2" t="s">
        <v>67</v>
      </c>
      <c r="C70" s="2" t="s">
        <v>172</v>
      </c>
      <c r="D70" s="2" t="s">
        <v>45</v>
      </c>
      <c r="E70" s="2">
        <v>2013</v>
      </c>
      <c r="F70" s="2">
        <v>37</v>
      </c>
      <c r="G70" s="2"/>
      <c r="H70" s="2">
        <v>16.78</v>
      </c>
      <c r="I70" s="2">
        <v>160</v>
      </c>
      <c r="J70" s="2">
        <v>0.53</v>
      </c>
      <c r="K70" s="2">
        <v>1</v>
      </c>
      <c r="L7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0" s="2">
        <f>1000000/1000/9.81/IF(Table1[[#This Row],[Dam height (m)]]="",10,Table1[[#This Row],[Dam height (m)]])*3600</f>
        <v>9918.175055789734</v>
      </c>
      <c r="N70" s="3">
        <f>(Table1[[#This Row],[Reservoir area (km2)]]*1000000*Table1[[#This Row],[Eo (mm/year)]]/1000)/Table1[[#This Row],[Hydroelectricity (MW)]]/8760*Table1[[#This Row],[Water consumption allocation]]/Table1[[#This Row],[CF]]</f>
        <v>36.56996621231842</v>
      </c>
      <c r="O70" s="2">
        <v>-1.7735609999999999</v>
      </c>
      <c r="P70" s="2">
        <v>13.551956000000001</v>
      </c>
      <c r="Q70" s="12">
        <v>377</v>
      </c>
      <c r="R70" s="12">
        <v>24.7</v>
      </c>
      <c r="S70" s="12">
        <f>28.4-21.3</f>
        <v>7.0999999999999979</v>
      </c>
      <c r="T70" s="12">
        <f>25.9-22.7</f>
        <v>3.1999999999999993</v>
      </c>
      <c r="U70" s="12">
        <f>Table1[[#This Row],[Average temperature (°C)]]+0.006*Table1[[#This Row],[Average Country Elevation]]</f>
        <v>26.962</v>
      </c>
      <c r="V70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W70" s="14">
        <f>(700*Table1[[#This Row],[Tm]]/(100-Table1[[#This Row],[Decimal degree latitude]])+15*Table1[[#This Row],[T-Td]])/(80-Table1[[#This Row],[Average temperature (°C)]])*365</f>
        <v>1618.9467378360139</v>
      </c>
    </row>
    <row r="71" spans="1:23" x14ac:dyDescent="0.25">
      <c r="A71" s="2" t="s">
        <v>22</v>
      </c>
      <c r="B71" s="2" t="s">
        <v>66</v>
      </c>
      <c r="C71" s="2" t="s">
        <v>204</v>
      </c>
      <c r="D71" s="2" t="s">
        <v>45</v>
      </c>
      <c r="E71" s="2">
        <v>1980</v>
      </c>
      <c r="F71" s="2">
        <v>36</v>
      </c>
      <c r="G71" s="2">
        <v>220</v>
      </c>
      <c r="H71" s="2">
        <v>10.89</v>
      </c>
      <c r="I71" s="2">
        <v>69</v>
      </c>
      <c r="J71" s="2">
        <v>0.53</v>
      </c>
      <c r="K71" s="2">
        <v>1</v>
      </c>
      <c r="L7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1" s="2">
        <f>1000000/1000/9.81/IF(Table1[[#This Row],[Dam height (m)]]="",10,Table1[[#This Row],[Dam height (m)]])*3600</f>
        <v>10193.67991845056</v>
      </c>
      <c r="N71" s="3">
        <f>(Table1[[#This Row],[Reservoir area (km2)]]*1000000*Table1[[#This Row],[Eo (mm/year)]]/1000)/Table1[[#This Row],[Hydroelectricity (MW)]]/8760*Table1[[#This Row],[Water consumption allocation]]/Table1[[#This Row],[CF]]</f>
        <v>56.038105039738973</v>
      </c>
      <c r="O71" s="2">
        <v>0.624502</v>
      </c>
      <c r="P71" s="2">
        <v>10.408053000000001</v>
      </c>
      <c r="Q71" s="12">
        <v>377</v>
      </c>
      <c r="R71" s="12">
        <v>24.7</v>
      </c>
      <c r="S71" s="12">
        <f t="shared" ref="S71:S74" si="17">28.4-21.3</f>
        <v>7.0999999999999979</v>
      </c>
      <c r="T71" s="12">
        <f t="shared" ref="T71:T74" si="18">25.9-22.7</f>
        <v>3.1999999999999993</v>
      </c>
      <c r="U71" s="12">
        <f>Table1[[#This Row],[Average temperature (°C)]]+0.006*Table1[[#This Row],[Average Country Elevation]]</f>
        <v>26.962</v>
      </c>
      <c r="V71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W71" s="14">
        <f>(700*Table1[[#This Row],[Tm]]/(100-Table1[[#This Row],[Decimal degree latitude]])+15*Table1[[#This Row],[T-Td]])/(80-Table1[[#This Row],[Average temperature (°C)]])*365</f>
        <v>1648.4835878252072</v>
      </c>
    </row>
    <row r="72" spans="1:23" x14ac:dyDescent="0.25">
      <c r="A72" s="2" t="s">
        <v>22</v>
      </c>
      <c r="B72" s="2" t="s">
        <v>187</v>
      </c>
      <c r="C72" s="2" t="s">
        <v>205</v>
      </c>
      <c r="D72" s="2" t="s">
        <v>45</v>
      </c>
      <c r="E72" s="2"/>
      <c r="F72" s="2">
        <v>35</v>
      </c>
      <c r="G72" s="2"/>
      <c r="H72" s="2">
        <v>0.02</v>
      </c>
      <c r="I72" s="2">
        <v>57.599999999999994</v>
      </c>
      <c r="J72" s="2">
        <v>0.53</v>
      </c>
      <c r="K72" s="2">
        <v>1</v>
      </c>
      <c r="L7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2" s="2">
        <f>1000000/1000/9.81/IF(Table1[[#This Row],[Dam height (m)]]="",10,Table1[[#This Row],[Dam height (m)]])*3600</f>
        <v>10484.927916120576</v>
      </c>
      <c r="N72" s="3">
        <f>(Table1[[#This Row],[Reservoir area (km2)]]*1000000*Table1[[#This Row],[Eo (mm/year)]]/1000)/Table1[[#This Row],[Hydroelectricity (MW)]]/8760*Table1[[#This Row],[Water consumption allocation]]/Table1[[#This Row],[CF]]</f>
        <v>0.12312853601530836</v>
      </c>
      <c r="O72" s="2">
        <v>0.457789</v>
      </c>
      <c r="P72" s="2">
        <v>10.286864</v>
      </c>
      <c r="Q72" s="12">
        <v>377</v>
      </c>
      <c r="R72" s="12">
        <v>24.7</v>
      </c>
      <c r="S72" s="12">
        <f t="shared" si="17"/>
        <v>7.0999999999999979</v>
      </c>
      <c r="T72" s="12">
        <f t="shared" si="18"/>
        <v>3.1999999999999993</v>
      </c>
      <c r="U72" s="12">
        <f>Table1[[#This Row],[Average temperature (°C)]]+0.006*Table1[[#This Row],[Average Country Elevation]]</f>
        <v>26.962</v>
      </c>
      <c r="V72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W72" s="14">
        <f>(700*Table1[[#This Row],[Tm]]/(100-Table1[[#This Row],[Decimal degree latitude]])+15*Table1[[#This Row],[T-Td]])/(80-Table1[[#This Row],[Average temperature (°C)]])*365</f>
        <v>1646.384160994196</v>
      </c>
    </row>
    <row r="73" spans="1:23" x14ac:dyDescent="0.25">
      <c r="A73" s="2" t="s">
        <v>22</v>
      </c>
      <c r="B73" s="2" t="s">
        <v>355</v>
      </c>
      <c r="C73" s="2" t="s">
        <v>172</v>
      </c>
      <c r="D73" s="2" t="s">
        <v>45</v>
      </c>
      <c r="E73" s="2"/>
      <c r="F73" s="2"/>
      <c r="G73" s="2"/>
      <c r="H73" s="2"/>
      <c r="I73" s="2">
        <v>37.76</v>
      </c>
      <c r="J73" s="2">
        <v>0.53</v>
      </c>
      <c r="K73" s="2">
        <v>1</v>
      </c>
      <c r="L7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3" s="2">
        <f>1000000/1000/9.81/IF(Table1[[#This Row],[Dam height (m)]]="",10,Table1[[#This Row],[Dam height (m)]])*3600</f>
        <v>36697.247706422015</v>
      </c>
      <c r="N7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73" s="2">
        <v>-1.6333329999999999</v>
      </c>
      <c r="P73" s="2">
        <v>13.583568</v>
      </c>
      <c r="Q73" s="12">
        <v>377</v>
      </c>
      <c r="R73" s="12">
        <v>24.7</v>
      </c>
      <c r="S73" s="12">
        <f t="shared" si="17"/>
        <v>7.0999999999999979</v>
      </c>
      <c r="T73" s="12">
        <f t="shared" si="18"/>
        <v>3.1999999999999993</v>
      </c>
      <c r="U73" s="12">
        <f>Table1[[#This Row],[Average temperature (°C)]]+0.006*Table1[[#This Row],[Average Country Elevation]]</f>
        <v>26.962</v>
      </c>
      <c r="V73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W73" s="14">
        <f>(700*Table1[[#This Row],[Tm]]/(100-Table1[[#This Row],[Decimal degree latitude]])+15*Table1[[#This Row],[T-Td]])/(80-Table1[[#This Row],[Average temperature (°C)]])*365</f>
        <v>1620.6355505069293</v>
      </c>
    </row>
    <row r="74" spans="1:23" x14ac:dyDescent="0.25">
      <c r="A74" s="2" t="s">
        <v>22</v>
      </c>
      <c r="B74" s="2" t="s">
        <v>356</v>
      </c>
      <c r="C74" s="2"/>
      <c r="D74" s="2"/>
      <c r="E74" s="2"/>
      <c r="F74" s="2"/>
      <c r="G74" s="2"/>
      <c r="H74" s="2"/>
      <c r="I74" s="2">
        <v>6.23</v>
      </c>
      <c r="J74" s="2">
        <v>0.53</v>
      </c>
      <c r="K74" s="2">
        <v>1</v>
      </c>
      <c r="L7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4" s="2">
        <f>1000000/1000/9.81/IF(Table1[[#This Row],[Dam height (m)]]="",10,Table1[[#This Row],[Dam height (m)]])*3600</f>
        <v>36697.247706422015</v>
      </c>
      <c r="N7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74" s="2">
        <v>-2.2387359999999998</v>
      </c>
      <c r="P74" s="2">
        <v>11.461071</v>
      </c>
      <c r="Q74" s="12">
        <v>377</v>
      </c>
      <c r="R74" s="12">
        <v>24.7</v>
      </c>
      <c r="S74" s="12">
        <f t="shared" si="17"/>
        <v>7.0999999999999979</v>
      </c>
      <c r="T74" s="12">
        <f t="shared" si="18"/>
        <v>3.1999999999999993</v>
      </c>
      <c r="U74" s="12">
        <f>Table1[[#This Row],[Average temperature (°C)]]+0.006*Table1[[#This Row],[Average Country Elevation]]</f>
        <v>26.962</v>
      </c>
      <c r="V74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W74" s="14">
        <f>(700*Table1[[#This Row],[Tm]]/(100-Table1[[#This Row],[Decimal degree latitude]])+15*Table1[[#This Row],[T-Td]])/(80-Table1[[#This Row],[Average temperature (°C)]])*365</f>
        <v>1613.3776534098456</v>
      </c>
    </row>
    <row r="75" spans="1:23" x14ac:dyDescent="0.25">
      <c r="A75" s="2" t="s">
        <v>232</v>
      </c>
      <c r="B75" s="2" t="s">
        <v>315</v>
      </c>
      <c r="C75" s="2" t="s">
        <v>316</v>
      </c>
      <c r="D75" s="2" t="s">
        <v>301</v>
      </c>
      <c r="E75" s="2">
        <v>1965</v>
      </c>
      <c r="F75" s="2">
        <v>134</v>
      </c>
      <c r="G75" s="2">
        <v>147960</v>
      </c>
      <c r="H75" s="2">
        <v>8482.25</v>
      </c>
      <c r="I75" s="2">
        <v>1020</v>
      </c>
      <c r="J75" s="2">
        <v>0.64</v>
      </c>
      <c r="K75" s="2">
        <v>1</v>
      </c>
      <c r="L7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5" s="2">
        <f>1000000/1000/9.81/IF(Table1[[#This Row],[Dam height (m)]]="",10,Table1[[#This Row],[Dam height (m)]])*3600</f>
        <v>2738.6005751061207</v>
      </c>
      <c r="N75" s="3">
        <f>(Table1[[#This Row],[Reservoir area (km2)]]*1000000*Table1[[#This Row],[Eo (mm/year)]]/1000)/Table1[[#This Row],[Hydroelectricity (MW)]]/8760*Table1[[#This Row],[Water consumption allocation]]/Table1[[#This Row],[CF]]</f>
        <v>2582.8721542353574</v>
      </c>
      <c r="O75" s="2">
        <v>6.35</v>
      </c>
      <c r="P75" s="2">
        <v>0.1</v>
      </c>
      <c r="Q75" s="12">
        <v>190</v>
      </c>
      <c r="R75" s="12">
        <v>26.7</v>
      </c>
      <c r="S75" s="12">
        <f>29.2-24.6</f>
        <v>4.5999999999999979</v>
      </c>
      <c r="T75" s="12">
        <f>28.4-24.9</f>
        <v>3.5</v>
      </c>
      <c r="U75" s="12">
        <f>Table1[[#This Row],[Average temperature (°C)]]+0.006*Table1[[#This Row],[Average Country Elevation]]</f>
        <v>27.84</v>
      </c>
      <c r="V75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W75" s="14">
        <f>(700*Table1[[#This Row],[Tm]]/(100-Table1[[#This Row],[Decimal degree latitude]])+15*Table1[[#This Row],[T-Td]])/(80-Table1[[#This Row],[Average temperature (°C)]])*365</f>
        <v>1741.3099984573914</v>
      </c>
    </row>
    <row r="76" spans="1:23" x14ac:dyDescent="0.25">
      <c r="A76" s="2" t="s">
        <v>232</v>
      </c>
      <c r="B76" s="2" t="s">
        <v>317</v>
      </c>
      <c r="C76" s="2" t="s">
        <v>318</v>
      </c>
      <c r="D76" s="2" t="s">
        <v>301</v>
      </c>
      <c r="E76" s="2">
        <v>2013</v>
      </c>
      <c r="F76" s="2">
        <v>108</v>
      </c>
      <c r="G76" s="2">
        <v>7720</v>
      </c>
      <c r="H76" s="2">
        <v>444</v>
      </c>
      <c r="I76" s="2">
        <v>403</v>
      </c>
      <c r="J76" s="2">
        <v>0.64</v>
      </c>
      <c r="K76" s="2">
        <v>1</v>
      </c>
      <c r="L7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6" s="2">
        <f>1000000/1000/9.81/IF(Table1[[#This Row],[Dam height (m)]]="",10,Table1[[#This Row],[Dam height (m)]])*3600</f>
        <v>3397.8933061501871</v>
      </c>
      <c r="N76" s="3">
        <f>(Table1[[#This Row],[Reservoir area (km2)]]*1000000*Table1[[#This Row],[Eo (mm/year)]]/1000)/Table1[[#This Row],[Hydroelectricity (MW)]]/8760*Table1[[#This Row],[Water consumption allocation]]/Table1[[#This Row],[CF]]</f>
        <v>348.07954241482213</v>
      </c>
      <c r="O76" s="2">
        <v>8.2783329999999999</v>
      </c>
      <c r="P76" s="2">
        <v>-2.235833</v>
      </c>
      <c r="Q76" s="12">
        <v>190</v>
      </c>
      <c r="R76" s="12">
        <v>26.7</v>
      </c>
      <c r="S76" s="12">
        <f t="shared" ref="S76:S77" si="19">29.2-24.6</f>
        <v>4.5999999999999979</v>
      </c>
      <c r="T76" s="12">
        <f t="shared" ref="T76:T77" si="20">28.4-24.9</f>
        <v>3.5</v>
      </c>
      <c r="U76" s="12">
        <f>Table1[[#This Row],[Average temperature (°C)]]+0.006*Table1[[#This Row],[Average Country Elevation]]</f>
        <v>27.84</v>
      </c>
      <c r="V76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W76" s="14">
        <f>(700*Table1[[#This Row],[Tm]]/(100-Table1[[#This Row],[Decimal degree latitude]])+15*Table1[[#This Row],[T-Td]])/(80-Table1[[#This Row],[Average temperature (°C)]])*365</f>
        <v>1771.2695452197456</v>
      </c>
    </row>
    <row r="77" spans="1:23" x14ac:dyDescent="0.25">
      <c r="A77" s="2" t="s">
        <v>232</v>
      </c>
      <c r="B77" s="2" t="s">
        <v>319</v>
      </c>
      <c r="C77" s="2" t="s">
        <v>316</v>
      </c>
      <c r="D77" s="2" t="s">
        <v>301</v>
      </c>
      <c r="E77" s="2">
        <v>1981</v>
      </c>
      <c r="F77" s="2">
        <v>20</v>
      </c>
      <c r="G77" s="2">
        <v>200</v>
      </c>
      <c r="H77" s="2">
        <v>25.2</v>
      </c>
      <c r="I77" s="2">
        <v>182.8</v>
      </c>
      <c r="J77" s="2">
        <v>0.64</v>
      </c>
      <c r="K77" s="2">
        <v>1</v>
      </c>
      <c r="L7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7" s="2">
        <f>1000000/1000/9.81/IF(Table1[[#This Row],[Dam height (m)]]="",10,Table1[[#This Row],[Dam height (m)]])*3600</f>
        <v>18348.623853211007</v>
      </c>
      <c r="N77" s="3">
        <f>(Table1[[#This Row],[Reservoir area (km2)]]*1000000*Table1[[#This Row],[Eo (mm/year)]]/1000)/Table1[[#This Row],[Hydroelectricity (MW)]]/8760*Table1[[#This Row],[Water consumption allocation]]/Table1[[#This Row],[CF]]</f>
        <v>42.730856330520325</v>
      </c>
      <c r="O77" s="2">
        <v>6.1191666666666666</v>
      </c>
      <c r="P77" s="2">
        <v>0.12472222222222222</v>
      </c>
      <c r="Q77" s="12">
        <v>190</v>
      </c>
      <c r="R77" s="12">
        <v>26.7</v>
      </c>
      <c r="S77" s="12">
        <f t="shared" si="19"/>
        <v>4.5999999999999979</v>
      </c>
      <c r="T77" s="12">
        <f t="shared" si="20"/>
        <v>3.5</v>
      </c>
      <c r="U77" s="12">
        <f>Table1[[#This Row],[Average temperature (°C)]]+0.006*Table1[[#This Row],[Average Country Elevation]]</f>
        <v>27.84</v>
      </c>
      <c r="V77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W77" s="14">
        <f>(700*Table1[[#This Row],[Tm]]/(100-Table1[[#This Row],[Decimal degree latitude]])+15*Table1[[#This Row],[T-Td]])/(80-Table1[[#This Row],[Average temperature (°C)]])*365</f>
        <v>1737.8061385660812</v>
      </c>
    </row>
    <row r="78" spans="1:23" x14ac:dyDescent="0.25">
      <c r="A78" s="2" t="s">
        <v>233</v>
      </c>
      <c r="B78" s="2" t="s">
        <v>320</v>
      </c>
      <c r="C78" s="2"/>
      <c r="D78" s="2"/>
      <c r="E78" s="2">
        <v>2015</v>
      </c>
      <c r="F78" s="2">
        <v>22</v>
      </c>
      <c r="G78" s="2">
        <v>23</v>
      </c>
      <c r="H78" s="2">
        <f>Table1[[#This Row],[Reservoir capacity (million m3)]]/Table1[[#This Row],[Dam height (m)]]*2</f>
        <v>2.0909090909090908</v>
      </c>
      <c r="I78" s="2">
        <v>240</v>
      </c>
      <c r="J78" s="2">
        <v>0.42</v>
      </c>
      <c r="K78" s="2">
        <v>1</v>
      </c>
      <c r="L7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8" s="2">
        <f>1000000/1000/9.81/IF(Table1[[#This Row],[Dam height (m)]]="",10,Table1[[#This Row],[Dam height (m)]])*3600</f>
        <v>16680.567139282735</v>
      </c>
      <c r="N78" s="3">
        <f>(Table1[[#This Row],[Reservoir area (km2)]]*1000000*Table1[[#This Row],[Eo (mm/year)]]/1000)/Table1[[#This Row],[Hydroelectricity (MW)]]/8760*Table1[[#This Row],[Water consumption allocation]]/Table1[[#This Row],[CF]]</f>
        <v>4.5754296754068209</v>
      </c>
      <c r="O78" s="2">
        <v>10.4627</v>
      </c>
      <c r="P78" s="2">
        <v>-13.2765</v>
      </c>
      <c r="Q78" s="12">
        <v>472</v>
      </c>
      <c r="R78" s="12">
        <v>25.5</v>
      </c>
      <c r="S78" s="12">
        <f>29.5-22.6</f>
        <v>6.8999999999999986</v>
      </c>
      <c r="T78" s="12">
        <f>28-24.6</f>
        <v>3.3999999999999986</v>
      </c>
      <c r="U78" s="12">
        <f>Table1[[#This Row],[Average temperature (°C)]]+0.006*Table1[[#This Row],[Average Country Elevation]]</f>
        <v>28.332000000000001</v>
      </c>
      <c r="V78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78" s="14">
        <f>(700*Table1[[#This Row],[Tm]]/(100-Table1[[#This Row],[Decimal degree latitude]])+15*Table1[[#This Row],[T-Td]])/(80-Table1[[#This Row],[Average temperature (°C)]])*365</f>
        <v>1932.241351088604</v>
      </c>
    </row>
    <row r="79" spans="1:23" x14ac:dyDescent="0.25">
      <c r="A79" s="2" t="s">
        <v>233</v>
      </c>
      <c r="B79" s="2" t="s">
        <v>321</v>
      </c>
      <c r="C79" s="2"/>
      <c r="D79" s="2"/>
      <c r="E79" s="2">
        <v>1999</v>
      </c>
      <c r="F79" s="2">
        <v>80</v>
      </c>
      <c r="G79" s="2">
        <v>1600</v>
      </c>
      <c r="H79" s="2">
        <v>61.7</v>
      </c>
      <c r="I79" s="2">
        <v>75</v>
      </c>
      <c r="J79" s="2">
        <v>0.42</v>
      </c>
      <c r="K79" s="2">
        <v>1</v>
      </c>
      <c r="L7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79" s="2">
        <f>1000000/1000/9.81/IF(Table1[[#This Row],[Dam height (m)]]="",10,Table1[[#This Row],[Dam height (m)]])*3600</f>
        <v>4587.1559633027518</v>
      </c>
      <c r="N79" s="3">
        <f>(Table1[[#This Row],[Reservoir area (km2)]]*1000000*Table1[[#This Row],[Eo (mm/year)]]/1000)/Table1[[#This Row],[Hydroelectricity (MW)]]/8760*Table1[[#This Row],[Water consumption allocation]]/Table1[[#This Row],[CF]]</f>
        <v>432.30820341823414</v>
      </c>
      <c r="O79" s="2">
        <v>10.532916999999999</v>
      </c>
      <c r="P79" s="2">
        <v>-12.66375</v>
      </c>
      <c r="Q79" s="12">
        <v>472</v>
      </c>
      <c r="R79" s="12">
        <v>25.5</v>
      </c>
      <c r="S79" s="12">
        <f t="shared" ref="S79:S84" si="21">29.5-22.6</f>
        <v>6.8999999999999986</v>
      </c>
      <c r="T79" s="12">
        <f t="shared" ref="T79:T84" si="22">28-24.6</f>
        <v>3.3999999999999986</v>
      </c>
      <c r="U79" s="12">
        <f>Table1[[#This Row],[Average temperature (°C)]]+0.006*Table1[[#This Row],[Average Country Elevation]]</f>
        <v>28.332000000000001</v>
      </c>
      <c r="V79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79" s="14">
        <f>(700*Table1[[#This Row],[Tm]]/(100-Table1[[#This Row],[Decimal degree latitude]])+15*Table1[[#This Row],[T-Td]])/(80-Table1[[#This Row],[Average temperature (°C)]])*365</f>
        <v>1933.4056021268646</v>
      </c>
    </row>
    <row r="80" spans="1:23" x14ac:dyDescent="0.25">
      <c r="A80" s="2" t="s">
        <v>233</v>
      </c>
      <c r="B80" s="2" t="s">
        <v>358</v>
      </c>
      <c r="C80" s="2"/>
      <c r="D80" s="2"/>
      <c r="E80" s="2"/>
      <c r="F80" s="2"/>
      <c r="G80" s="2"/>
      <c r="H80" s="2"/>
      <c r="I80" s="2">
        <v>16.399999999999999</v>
      </c>
      <c r="J80" s="2">
        <v>0.42</v>
      </c>
      <c r="K80" s="2">
        <v>1</v>
      </c>
      <c r="L8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0" s="2">
        <f>1000000/1000/9.81/IF(Table1[[#This Row],[Dam height (m)]]="",10,Table1[[#This Row],[Dam height (m)]])*3600</f>
        <v>36697.247706422015</v>
      </c>
      <c r="N8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80" s="2">
        <v>9.9499999999999993</v>
      </c>
      <c r="P80" s="2">
        <v>-13</v>
      </c>
      <c r="Q80" s="12">
        <v>472</v>
      </c>
      <c r="R80" s="12">
        <v>25.5</v>
      </c>
      <c r="S80" s="12">
        <f t="shared" si="21"/>
        <v>6.8999999999999986</v>
      </c>
      <c r="T80" s="12">
        <f t="shared" si="22"/>
        <v>3.3999999999999986</v>
      </c>
      <c r="U80" s="12">
        <f>Table1[[#This Row],[Average temperature (°C)]]+0.006*Table1[[#This Row],[Average Country Elevation]]</f>
        <v>28.332000000000001</v>
      </c>
      <c r="V80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80" s="14">
        <f>(700*Table1[[#This Row],[Tm]]/(100-Table1[[#This Row],[Decimal degree latitude]])+15*Table1[[#This Row],[T-Td]])/(80-Table1[[#This Row],[Average temperature (°C)]])*365</f>
        <v>1923.7954256809414</v>
      </c>
    </row>
    <row r="81" spans="1:23" x14ac:dyDescent="0.25">
      <c r="A81" s="2" t="s">
        <v>233</v>
      </c>
      <c r="B81" s="2" t="s">
        <v>357</v>
      </c>
      <c r="C81" s="2"/>
      <c r="D81" s="2"/>
      <c r="E81" s="2"/>
      <c r="F81" s="2"/>
      <c r="G81" s="2"/>
      <c r="H81" s="2"/>
      <c r="I81" s="2">
        <v>5</v>
      </c>
      <c r="J81" s="2">
        <v>0.42</v>
      </c>
      <c r="K81" s="2">
        <v>1</v>
      </c>
      <c r="L8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1" s="2">
        <f>1000000/1000/9.81/IF(Table1[[#This Row],[Dam height (m)]]="",10,Table1[[#This Row],[Dam height (m)]])*3600</f>
        <v>36697.247706422015</v>
      </c>
      <c r="N8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81" s="2">
        <v>10.055</v>
      </c>
      <c r="P81" s="2">
        <v>-12.866</v>
      </c>
      <c r="Q81" s="12">
        <v>472</v>
      </c>
      <c r="R81" s="12">
        <v>25.5</v>
      </c>
      <c r="S81" s="12">
        <f t="shared" si="21"/>
        <v>6.8999999999999986</v>
      </c>
      <c r="T81" s="12">
        <f t="shared" si="22"/>
        <v>3.3999999999999986</v>
      </c>
      <c r="U81" s="12">
        <f>Table1[[#This Row],[Average temperature (°C)]]+0.006*Table1[[#This Row],[Average Country Elevation]]</f>
        <v>28.332000000000001</v>
      </c>
      <c r="V81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81" s="14">
        <f>(700*Table1[[#This Row],[Tm]]/(100-Table1[[#This Row],[Decimal degree latitude]])+15*Table1[[#This Row],[T-Td]])/(80-Table1[[#This Row],[Average temperature (°C)]])*365</f>
        <v>1925.5172950136198</v>
      </c>
    </row>
    <row r="82" spans="1:23" x14ac:dyDescent="0.25">
      <c r="A82" s="2" t="s">
        <v>233</v>
      </c>
      <c r="B82" s="2" t="s">
        <v>359</v>
      </c>
      <c r="C82" s="2"/>
      <c r="D82" s="2"/>
      <c r="E82" s="2"/>
      <c r="F82" s="2"/>
      <c r="G82" s="2"/>
      <c r="H82" s="2"/>
      <c r="I82" s="2">
        <v>3.2</v>
      </c>
      <c r="J82" s="2">
        <v>0.42</v>
      </c>
      <c r="K82" s="2">
        <v>1</v>
      </c>
      <c r="L8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2" s="2">
        <f>1000000/1000/9.81/IF(Table1[[#This Row],[Dam height (m)]]="",10,Table1[[#This Row],[Dam height (m)]])*3600</f>
        <v>36697.247706422015</v>
      </c>
      <c r="N8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82" s="2">
        <v>11.291</v>
      </c>
      <c r="P82" s="2">
        <v>-12.6701</v>
      </c>
      <c r="Q82" s="12">
        <v>472</v>
      </c>
      <c r="R82" s="12">
        <v>25.5</v>
      </c>
      <c r="S82" s="12">
        <f t="shared" si="21"/>
        <v>6.8999999999999986</v>
      </c>
      <c r="T82" s="12">
        <f t="shared" si="22"/>
        <v>3.3999999999999986</v>
      </c>
      <c r="U82" s="12">
        <f>Table1[[#This Row],[Average temperature (°C)]]+0.006*Table1[[#This Row],[Average Country Elevation]]</f>
        <v>28.332000000000001</v>
      </c>
      <c r="V82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82" s="14">
        <f>(700*Table1[[#This Row],[Tm]]/(100-Table1[[#This Row],[Decimal degree latitude]])+15*Table1[[#This Row],[T-Td]])/(80-Table1[[#This Row],[Average temperature (°C)]])*365</f>
        <v>1946.092558069209</v>
      </c>
    </row>
    <row r="83" spans="1:23" x14ac:dyDescent="0.25">
      <c r="A83" s="2" t="s">
        <v>233</v>
      </c>
      <c r="B83" s="2" t="s">
        <v>361</v>
      </c>
      <c r="C83" s="2"/>
      <c r="D83" s="2"/>
      <c r="E83" s="2"/>
      <c r="F83" s="2"/>
      <c r="G83" s="2"/>
      <c r="H83" s="2"/>
      <c r="I83" s="2">
        <v>1.2</v>
      </c>
      <c r="J83" s="2">
        <v>0.42</v>
      </c>
      <c r="K83" s="2">
        <v>1</v>
      </c>
      <c r="L8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3" s="2">
        <f>1000000/1000/9.81/IF(Table1[[#This Row],[Dam height (m)]]="",10,Table1[[#This Row],[Dam height (m)]])*3600</f>
        <v>36697.247706422015</v>
      </c>
      <c r="N8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83" s="2">
        <v>10.75</v>
      </c>
      <c r="P83" s="2">
        <v>-11.11</v>
      </c>
      <c r="Q83" s="12">
        <v>472</v>
      </c>
      <c r="R83" s="12">
        <v>25.5</v>
      </c>
      <c r="S83" s="12">
        <f t="shared" si="21"/>
        <v>6.8999999999999986</v>
      </c>
      <c r="T83" s="12">
        <f t="shared" si="22"/>
        <v>3.3999999999999986</v>
      </c>
      <c r="U83" s="12">
        <f>Table1[[#This Row],[Average temperature (°C)]]+0.006*Table1[[#This Row],[Average Country Elevation]]</f>
        <v>28.332000000000001</v>
      </c>
      <c r="V83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83" s="14">
        <f>(700*Table1[[#This Row],[Tm]]/(100-Table1[[#This Row],[Decimal degree latitude]])+15*Table1[[#This Row],[T-Td]])/(80-Table1[[#This Row],[Average temperature (°C)]])*365</f>
        <v>1937.016589314625</v>
      </c>
    </row>
    <row r="84" spans="1:23" x14ac:dyDescent="0.25">
      <c r="A84" s="2" t="s">
        <v>233</v>
      </c>
      <c r="B84" s="2" t="s">
        <v>360</v>
      </c>
      <c r="C84" s="2"/>
      <c r="D84" s="2"/>
      <c r="E84" s="2"/>
      <c r="F84" s="2"/>
      <c r="G84" s="2"/>
      <c r="H84" s="2"/>
      <c r="I84" s="2">
        <v>0.2</v>
      </c>
      <c r="J84" s="2">
        <v>0.42</v>
      </c>
      <c r="K84" s="2">
        <v>1</v>
      </c>
      <c r="L8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4" s="2">
        <f>1000000/1000/9.81/IF(Table1[[#This Row],[Dam height (m)]]="",10,Table1[[#This Row],[Dam height (m)]])*3600</f>
        <v>36697.247706422015</v>
      </c>
      <c r="N8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84" s="2">
        <v>8.5414270000000005</v>
      </c>
      <c r="P84" s="2">
        <v>-9.4731120000000004</v>
      </c>
      <c r="Q84" s="12">
        <v>472</v>
      </c>
      <c r="R84" s="12">
        <v>25.5</v>
      </c>
      <c r="S84" s="12">
        <f t="shared" si="21"/>
        <v>6.8999999999999986</v>
      </c>
      <c r="T84" s="12">
        <f t="shared" si="22"/>
        <v>3.3999999999999986</v>
      </c>
      <c r="U84" s="12">
        <f>Table1[[#This Row],[Average temperature (°C)]]+0.006*Table1[[#This Row],[Average Country Elevation]]</f>
        <v>28.332000000000001</v>
      </c>
      <c r="V84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W84" s="14">
        <f>(700*Table1[[#This Row],[Tm]]/(100-Table1[[#This Row],[Decimal degree latitude]])+15*Table1[[#This Row],[T-Td]])/(80-Table1[[#This Row],[Average temperature (°C)]])*365</f>
        <v>1901.0788504879763</v>
      </c>
    </row>
    <row r="85" spans="1:23" x14ac:dyDescent="0.25">
      <c r="A85" s="2" t="s">
        <v>26</v>
      </c>
      <c r="B85" s="2" t="s">
        <v>92</v>
      </c>
      <c r="C85" s="2" t="s">
        <v>93</v>
      </c>
      <c r="D85" s="2" t="s">
        <v>94</v>
      </c>
      <c r="E85" s="2">
        <v>1978</v>
      </c>
      <c r="F85" s="2">
        <v>30</v>
      </c>
      <c r="G85" s="2">
        <v>20</v>
      </c>
      <c r="H85" s="2">
        <v>2.99</v>
      </c>
      <c r="I85" s="2">
        <v>228.7</v>
      </c>
      <c r="J85" s="2">
        <v>0.4</v>
      </c>
      <c r="K85" s="2">
        <v>1</v>
      </c>
      <c r="L8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5" s="2">
        <f>1000000/1000/9.81/IF(Table1[[#This Row],[Dam height (m)]]="",10,Table1[[#This Row],[Dam height (m)]])*3600</f>
        <v>12232.415902140672</v>
      </c>
      <c r="N85" s="3">
        <f>(Table1[[#This Row],[Reservoir area (km2)]]*1000000*Table1[[#This Row],[Eo (mm/year)]]/1000)/Table1[[#This Row],[Hydroelectricity (MW)]]/8760*Table1[[#This Row],[Water consumption allocation]]/Table1[[#This Row],[CF]]</f>
        <v>5.8780080195342705</v>
      </c>
      <c r="O85" s="2">
        <v>-0.79568099999999997</v>
      </c>
      <c r="P85" s="2">
        <v>37.749805000000002</v>
      </c>
      <c r="Q85" s="12">
        <v>762</v>
      </c>
      <c r="R85" s="12">
        <v>20.8</v>
      </c>
      <c r="S85" s="12">
        <f>26.9-16.1</f>
        <v>10.799999999999997</v>
      </c>
      <c r="T85" s="12">
        <f>22.2-19.3</f>
        <v>2.8999999999999986</v>
      </c>
      <c r="U85" s="12">
        <f>Table1[[#This Row],[Average temperature (°C)]]+0.006*Table1[[#This Row],[Average Country Elevation]]</f>
        <v>25.372</v>
      </c>
      <c r="V85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85" s="14">
        <f>(700*Table1[[#This Row],[Tm]]/(100-Table1[[#This Row],[Decimal degree latitude]])+15*Table1[[#This Row],[T-Td]])/(80-Table1[[#This Row],[Average temperature (°C)]])*365</f>
        <v>1575.3942210610289</v>
      </c>
    </row>
    <row r="86" spans="1:23" x14ac:dyDescent="0.25">
      <c r="A86" s="2" t="s">
        <v>26</v>
      </c>
      <c r="B86" s="2" t="s">
        <v>95</v>
      </c>
      <c r="C86" s="2" t="s">
        <v>93</v>
      </c>
      <c r="D86" s="2" t="s">
        <v>94</v>
      </c>
      <c r="E86" s="2">
        <v>1987</v>
      </c>
      <c r="F86" s="2">
        <v>112</v>
      </c>
      <c r="G86" s="2">
        <v>585</v>
      </c>
      <c r="H86" s="2">
        <v>23.97</v>
      </c>
      <c r="I86" s="2">
        <v>144</v>
      </c>
      <c r="J86" s="2">
        <v>0.4</v>
      </c>
      <c r="K86" s="2">
        <v>1</v>
      </c>
      <c r="L8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6" s="2">
        <f>1000000/1000/9.81/IF(Table1[[#This Row],[Dam height (m)]]="",10,Table1[[#This Row],[Dam height (m)]])*3600</f>
        <v>3276.5399737876801</v>
      </c>
      <c r="N86" s="3">
        <f>(Table1[[#This Row],[Reservoir area (km2)]]*1000000*Table1[[#This Row],[Eo (mm/year)]]/1000)/Table1[[#This Row],[Hydroelectricity (MW)]]/8760*Table1[[#This Row],[Water consumption allocation]]/Table1[[#This Row],[CF]]</f>
        <v>74.918731580960483</v>
      </c>
      <c r="O86" s="2">
        <v>-0.64111111111111108</v>
      </c>
      <c r="P86" s="2">
        <v>37.910555555555554</v>
      </c>
      <c r="Q86" s="12">
        <v>762</v>
      </c>
      <c r="R86" s="12">
        <v>20.8</v>
      </c>
      <c r="S86" s="12">
        <f t="shared" ref="S86:S96" si="23">26.9-16.1</f>
        <v>10.799999999999997</v>
      </c>
      <c r="T86" s="12">
        <f t="shared" ref="T86:T96" si="24">22.2-19.3</f>
        <v>2.8999999999999986</v>
      </c>
      <c r="U86" s="12">
        <f>Table1[[#This Row],[Average temperature (°C)]]+0.006*Table1[[#This Row],[Average Country Elevation]]</f>
        <v>25.372</v>
      </c>
      <c r="V86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86" s="14">
        <f>(700*Table1[[#This Row],[Tm]]/(100-Table1[[#This Row],[Decimal degree latitude]])+15*Table1[[#This Row],[T-Td]])/(80-Table1[[#This Row],[Average temperature (°C)]])*365</f>
        <v>1577.0627411845942</v>
      </c>
    </row>
    <row r="87" spans="1:23" x14ac:dyDescent="0.25">
      <c r="A87" s="2" t="s">
        <v>26</v>
      </c>
      <c r="B87" s="2" t="s">
        <v>100</v>
      </c>
      <c r="C87" s="2" t="s">
        <v>100</v>
      </c>
      <c r="D87" s="2" t="s">
        <v>101</v>
      </c>
      <c r="E87" s="2">
        <v>1991</v>
      </c>
      <c r="F87" s="2">
        <v>155</v>
      </c>
      <c r="G87" s="2">
        <v>1645</v>
      </c>
      <c r="H87" s="2">
        <v>26.12</v>
      </c>
      <c r="I87" s="2">
        <v>107.4</v>
      </c>
      <c r="J87" s="2">
        <v>0.4</v>
      </c>
      <c r="K87" s="2">
        <v>1</v>
      </c>
      <c r="L8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7" s="2">
        <f>1000000/1000/9.81/IF(Table1[[#This Row],[Dam height (m)]]="",10,Table1[[#This Row],[Dam height (m)]])*3600</f>
        <v>2367.5643681562592</v>
      </c>
      <c r="N87" s="3">
        <f>(Table1[[#This Row],[Reservoir area (km2)]]*1000000*Table1[[#This Row],[Eo (mm/year)]]/1000)/Table1[[#This Row],[Hydroelectricity (MW)]]/8760*Table1[[#This Row],[Water consumption allocation]]/Table1[[#This Row],[CF]]</f>
        <v>111.41432030751265</v>
      </c>
      <c r="O87" s="2">
        <v>1.8981859999999999</v>
      </c>
      <c r="P87" s="2">
        <v>35.333705999999999</v>
      </c>
      <c r="Q87" s="12">
        <v>762</v>
      </c>
      <c r="R87" s="12">
        <v>20.8</v>
      </c>
      <c r="S87" s="12">
        <f t="shared" si="23"/>
        <v>10.799999999999997</v>
      </c>
      <c r="T87" s="12">
        <f t="shared" si="24"/>
        <v>2.8999999999999986</v>
      </c>
      <c r="U87" s="12">
        <f>Table1[[#This Row],[Average temperature (°C)]]+0.006*Table1[[#This Row],[Average Country Elevation]]</f>
        <v>25.372</v>
      </c>
      <c r="V87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87" s="14">
        <f>(700*Table1[[#This Row],[Tm]]/(100-Table1[[#This Row],[Decimal degree latitude]])+15*Table1[[#This Row],[T-Td]])/(80-Table1[[#This Row],[Average temperature (°C)]])*365</f>
        <v>1605.226133062715</v>
      </c>
    </row>
    <row r="88" spans="1:23" x14ac:dyDescent="0.25">
      <c r="A88" s="2" t="s">
        <v>26</v>
      </c>
      <c r="B88" s="2" t="s">
        <v>98</v>
      </c>
      <c r="C88" s="2" t="s">
        <v>93</v>
      </c>
      <c r="D88" s="2" t="s">
        <v>94</v>
      </c>
      <c r="E88" s="2">
        <v>1974</v>
      </c>
      <c r="F88" s="2">
        <v>56</v>
      </c>
      <c r="G88" s="2">
        <v>150</v>
      </c>
      <c r="H88" s="2">
        <v>13.05</v>
      </c>
      <c r="I88" s="2">
        <v>90</v>
      </c>
      <c r="J88" s="2">
        <v>0.4</v>
      </c>
      <c r="K88" s="2">
        <v>1</v>
      </c>
      <c r="L8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8" s="2">
        <f>1000000/1000/9.81/IF(Table1[[#This Row],[Dam height (m)]]="",10,Table1[[#This Row],[Dam height (m)]])*3600</f>
        <v>6553.0799475753602</v>
      </c>
      <c r="N88" s="3">
        <f>(Table1[[#This Row],[Reservoir area (km2)]]*1000000*Table1[[#This Row],[Eo (mm/year)]]/1000)/Table1[[#This Row],[Hydroelectricity (MW)]]/8760*Table1[[#This Row],[Water consumption allocation]]/Table1[[#This Row],[CF]]</f>
        <v>65.184450740975791</v>
      </c>
      <c r="O88" s="2">
        <v>-0.81222222222222229</v>
      </c>
      <c r="P88" s="2">
        <v>37.688333333333333</v>
      </c>
      <c r="Q88" s="12">
        <v>762</v>
      </c>
      <c r="R88" s="12">
        <v>20.8</v>
      </c>
      <c r="S88" s="12">
        <f t="shared" si="23"/>
        <v>10.799999999999997</v>
      </c>
      <c r="T88" s="12">
        <f t="shared" si="24"/>
        <v>2.8999999999999986</v>
      </c>
      <c r="U88" s="12">
        <f>Table1[[#This Row],[Average temperature (°C)]]+0.006*Table1[[#This Row],[Average Country Elevation]]</f>
        <v>25.372</v>
      </c>
      <c r="V88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88" s="14">
        <f>(700*Table1[[#This Row],[Tm]]/(100-Table1[[#This Row],[Decimal degree latitude]])+15*Table1[[#This Row],[T-Td]])/(80-Table1[[#This Row],[Average temperature (°C)]])*365</f>
        <v>1575.2159682508909</v>
      </c>
    </row>
    <row r="89" spans="1:23" x14ac:dyDescent="0.25">
      <c r="A89" s="2" t="s">
        <v>26</v>
      </c>
      <c r="B89" s="2" t="s">
        <v>96</v>
      </c>
      <c r="C89" s="2" t="s">
        <v>93</v>
      </c>
      <c r="D89" s="2" t="s">
        <v>94</v>
      </c>
      <c r="E89" s="2">
        <v>1968</v>
      </c>
      <c r="F89" s="2">
        <v>24</v>
      </c>
      <c r="G89" s="2">
        <v>16</v>
      </c>
      <c r="H89" s="2">
        <v>2.2799999999999998</v>
      </c>
      <c r="I89" s="2">
        <v>80</v>
      </c>
      <c r="J89" s="2">
        <v>0.4</v>
      </c>
      <c r="K89" s="2">
        <v>1</v>
      </c>
      <c r="L8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89" s="2">
        <f>1000000/1000/9.81/IF(Table1[[#This Row],[Dam height (m)]]="",10,Table1[[#This Row],[Dam height (m)]])*3600</f>
        <v>15290.519877675841</v>
      </c>
      <c r="N89" s="3">
        <f>(Table1[[#This Row],[Reservoir area (km2)]]*1000000*Table1[[#This Row],[Eo (mm/year)]]/1000)/Table1[[#This Row],[Hydroelectricity (MW)]]/8760*Table1[[#This Row],[Water consumption allocation]]/Table1[[#This Row],[CF]]</f>
        <v>12.812627414690295</v>
      </c>
      <c r="O89" s="2">
        <v>-0.80638888888888893</v>
      </c>
      <c r="P89" s="2">
        <v>37.81</v>
      </c>
      <c r="Q89" s="12">
        <v>762</v>
      </c>
      <c r="R89" s="12">
        <v>20.8</v>
      </c>
      <c r="S89" s="12">
        <f t="shared" si="23"/>
        <v>10.799999999999997</v>
      </c>
      <c r="T89" s="12">
        <f t="shared" si="24"/>
        <v>2.8999999999999986</v>
      </c>
      <c r="U89" s="12">
        <f>Table1[[#This Row],[Average temperature (°C)]]+0.006*Table1[[#This Row],[Average Country Elevation]]</f>
        <v>25.372</v>
      </c>
      <c r="V89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89" s="14">
        <f>(700*Table1[[#This Row],[Tm]]/(100-Table1[[#This Row],[Decimal degree latitude]])+15*Table1[[#This Row],[T-Td]])/(80-Table1[[#This Row],[Average temperature (°C)]])*365</f>
        <v>1575.2788231956067</v>
      </c>
    </row>
    <row r="90" spans="1:23" x14ac:dyDescent="0.25">
      <c r="A90" s="2" t="s">
        <v>26</v>
      </c>
      <c r="B90" s="2" t="s">
        <v>99</v>
      </c>
      <c r="C90" s="2" t="s">
        <v>174</v>
      </c>
      <c r="D90" s="2" t="s">
        <v>94</v>
      </c>
      <c r="E90" s="2">
        <v>2009</v>
      </c>
      <c r="F90" s="2">
        <v>18</v>
      </c>
      <c r="G90" s="2"/>
      <c r="H90" s="2">
        <v>0.28999999999999998</v>
      </c>
      <c r="I90" s="2">
        <v>60</v>
      </c>
      <c r="J90" s="2">
        <v>0.4</v>
      </c>
      <c r="K90" s="2">
        <v>1</v>
      </c>
      <c r="L9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0" s="2">
        <f>1000000/1000/9.81/IF(Table1[[#This Row],[Dam height (m)]]="",10,Table1[[#This Row],[Dam height (m)]])*3600</f>
        <v>20387.35983690112</v>
      </c>
      <c r="N90" s="3">
        <f>(Table1[[#This Row],[Reservoir area (km2)]]*1000000*Table1[[#This Row],[Eo (mm/year)]]/1000)/Table1[[#This Row],[Hydroelectricity (MW)]]/8760*Table1[[#This Row],[Water consumption allocation]]/Table1[[#This Row],[CF]]</f>
        <v>2.1790032294529436</v>
      </c>
      <c r="O90" s="2">
        <v>-0.39756000000000002</v>
      </c>
      <c r="P90" s="2">
        <v>34.882936000000001</v>
      </c>
      <c r="Q90" s="12">
        <v>762</v>
      </c>
      <c r="R90" s="12">
        <v>20.8</v>
      </c>
      <c r="S90" s="12">
        <f t="shared" si="23"/>
        <v>10.799999999999997</v>
      </c>
      <c r="T90" s="12">
        <f t="shared" si="24"/>
        <v>2.8999999999999986</v>
      </c>
      <c r="U90" s="12">
        <f>Table1[[#This Row],[Average temperature (°C)]]+0.006*Table1[[#This Row],[Average Country Elevation]]</f>
        <v>25.372</v>
      </c>
      <c r="V90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0" s="14">
        <f>(700*Table1[[#This Row],[Tm]]/(100-Table1[[#This Row],[Decimal degree latitude]])+15*Table1[[#This Row],[T-Td]])/(80-Table1[[#This Row],[Average temperature (°C)]])*365</f>
        <v>1579.7022033109893</v>
      </c>
    </row>
    <row r="91" spans="1:23" x14ac:dyDescent="0.25">
      <c r="A91" s="2" t="s">
        <v>26</v>
      </c>
      <c r="B91" s="2" t="s">
        <v>97</v>
      </c>
      <c r="C91" s="2" t="s">
        <v>93</v>
      </c>
      <c r="D91" s="2" t="s">
        <v>94</v>
      </c>
      <c r="E91" s="2">
        <v>1980</v>
      </c>
      <c r="F91" s="2">
        <v>70</v>
      </c>
      <c r="G91" s="2">
        <v>1560</v>
      </c>
      <c r="H91" s="2">
        <v>111.57</v>
      </c>
      <c r="I91" s="2">
        <v>40</v>
      </c>
      <c r="J91" s="2">
        <v>0.4</v>
      </c>
      <c r="K91" s="2">
        <v>2</v>
      </c>
      <c r="L9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91" s="2">
        <f>1000000/1000/9.81/IF(Table1[[#This Row],[Dam height (m)]]="",10,Table1[[#This Row],[Dam height (m)]])*3600</f>
        <v>5242.463958060288</v>
      </c>
      <c r="N91" s="3">
        <f>(Table1[[#This Row],[Reservoir area (km2)]]*1000000*Table1[[#This Row],[Eo (mm/year)]]/1000)/Table1[[#This Row],[Hydroelectricity (MW)]]/8760*Table1[[#This Row],[Water consumption allocation]]/Table1[[#This Row],[CF]]</f>
        <v>556.47965538878077</v>
      </c>
      <c r="O91" s="2">
        <v>-0.87861111111111112</v>
      </c>
      <c r="P91" s="2">
        <v>37.589166666666671</v>
      </c>
      <c r="Q91" s="12">
        <v>762</v>
      </c>
      <c r="R91" s="12">
        <v>20.8</v>
      </c>
      <c r="S91" s="12">
        <f t="shared" si="23"/>
        <v>10.799999999999997</v>
      </c>
      <c r="T91" s="12">
        <f t="shared" si="24"/>
        <v>2.8999999999999986</v>
      </c>
      <c r="U91" s="12">
        <f>Table1[[#This Row],[Average temperature (°C)]]+0.006*Table1[[#This Row],[Average Country Elevation]]</f>
        <v>25.372</v>
      </c>
      <c r="V91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1" s="14">
        <f>(700*Table1[[#This Row],[Tm]]/(100-Table1[[#This Row],[Decimal degree latitude]])+15*Table1[[#This Row],[T-Td]])/(80-Table1[[#This Row],[Average temperature (°C)]])*365</f>
        <v>1574.5011312594831</v>
      </c>
    </row>
    <row r="92" spans="1:23" x14ac:dyDescent="0.25">
      <c r="A92" s="2" t="s">
        <v>26</v>
      </c>
      <c r="B92" s="2" t="s">
        <v>362</v>
      </c>
      <c r="C92" s="2"/>
      <c r="D92" s="2"/>
      <c r="E92" s="2"/>
      <c r="F92" s="2"/>
      <c r="G92" s="2"/>
      <c r="H92" s="2"/>
      <c r="I92" s="2">
        <v>21.2</v>
      </c>
      <c r="J92" s="2">
        <v>0.4</v>
      </c>
      <c r="K92" s="2">
        <v>1</v>
      </c>
      <c r="L9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2" s="2">
        <f>1000000/1000/9.81/IF(Table1[[#This Row],[Dam height (m)]]="",10,Table1[[#This Row],[Dam height (m)]])*3600</f>
        <v>36697.247706422015</v>
      </c>
      <c r="N9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2" s="2">
        <v>-0.35</v>
      </c>
      <c r="P92" s="2">
        <v>34.799999999999997</v>
      </c>
      <c r="Q92" s="12">
        <v>762</v>
      </c>
      <c r="R92" s="12">
        <v>20.8</v>
      </c>
      <c r="S92" s="12">
        <f t="shared" si="23"/>
        <v>10.799999999999997</v>
      </c>
      <c r="T92" s="12">
        <f t="shared" si="24"/>
        <v>2.8999999999999986</v>
      </c>
      <c r="U92" s="12">
        <f>Table1[[#This Row],[Average temperature (°C)]]+0.006*Table1[[#This Row],[Average Country Elevation]]</f>
        <v>25.372</v>
      </c>
      <c r="V92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2" s="14">
        <f>(700*Table1[[#This Row],[Tm]]/(100-Table1[[#This Row],[Decimal degree latitude]])+15*Table1[[#This Row],[T-Td]])/(80-Table1[[#This Row],[Average temperature (°C)]])*365</f>
        <v>1580.2191255437049</v>
      </c>
    </row>
    <row r="93" spans="1:23" x14ac:dyDescent="0.25">
      <c r="A93" s="2" t="s">
        <v>26</v>
      </c>
      <c r="B93" s="2" t="s">
        <v>93</v>
      </c>
      <c r="C93" s="2" t="s">
        <v>207</v>
      </c>
      <c r="D93" s="2" t="s">
        <v>94</v>
      </c>
      <c r="E93" s="2">
        <v>2009</v>
      </c>
      <c r="F93" s="2">
        <v>10</v>
      </c>
      <c r="G93" s="2" t="s">
        <v>48</v>
      </c>
      <c r="H93" s="2"/>
      <c r="I93" s="2">
        <v>19.600000000000001</v>
      </c>
      <c r="J93" s="2">
        <v>0.4</v>
      </c>
      <c r="K93" s="2">
        <v>1</v>
      </c>
      <c r="L9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3" s="2">
        <f>1000000/1000/9.81/IF(Table1[[#This Row],[Dam height (m)]]="",10,Table1[[#This Row],[Dam height (m)]])*3600</f>
        <v>36697.247706422015</v>
      </c>
      <c r="N9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3" s="2">
        <v>-0.78555600000000003</v>
      </c>
      <c r="P93" s="2">
        <v>37.265278000000002</v>
      </c>
      <c r="Q93" s="12">
        <v>762</v>
      </c>
      <c r="R93" s="12">
        <v>20.8</v>
      </c>
      <c r="S93" s="12">
        <f t="shared" si="23"/>
        <v>10.799999999999997</v>
      </c>
      <c r="T93" s="12">
        <f t="shared" si="24"/>
        <v>2.8999999999999986</v>
      </c>
      <c r="U93" s="12">
        <f>Table1[[#This Row],[Average temperature (°C)]]+0.006*Table1[[#This Row],[Average Country Elevation]]</f>
        <v>25.372</v>
      </c>
      <c r="V93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3" s="14">
        <f>(700*Table1[[#This Row],[Tm]]/(100-Table1[[#This Row],[Decimal degree latitude]])+15*Table1[[#This Row],[T-Td]])/(80-Table1[[#This Row],[Average temperature (°C)]])*365</f>
        <v>1575.5033597450843</v>
      </c>
    </row>
    <row r="94" spans="1:23" x14ac:dyDescent="0.25">
      <c r="A94" s="2" t="s">
        <v>26</v>
      </c>
      <c r="B94" s="2" t="s">
        <v>363</v>
      </c>
      <c r="C94" s="2"/>
      <c r="D94" s="2"/>
      <c r="E94" s="2"/>
      <c r="F94" s="2"/>
      <c r="G94" s="2"/>
      <c r="H94" s="2"/>
      <c r="I94" s="2">
        <v>19.600000000000001</v>
      </c>
      <c r="J94" s="2">
        <v>0.4</v>
      </c>
      <c r="K94" s="2">
        <v>1</v>
      </c>
      <c r="L9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4" s="2">
        <f>1000000/1000/9.81/IF(Table1[[#This Row],[Dam height (m)]]="",10,Table1[[#This Row],[Dam height (m)]])*3600</f>
        <v>36697.247706422015</v>
      </c>
      <c r="N9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4" s="2">
        <v>-0.71666700000000005</v>
      </c>
      <c r="P94" s="2">
        <v>37.15</v>
      </c>
      <c r="Q94" s="12">
        <v>762</v>
      </c>
      <c r="R94" s="12">
        <v>20.8</v>
      </c>
      <c r="S94" s="12">
        <f t="shared" si="23"/>
        <v>10.799999999999997</v>
      </c>
      <c r="T94" s="12">
        <f t="shared" si="24"/>
        <v>2.8999999999999986</v>
      </c>
      <c r="U94" s="12">
        <f>Table1[[#This Row],[Average temperature (°C)]]+0.006*Table1[[#This Row],[Average Country Elevation]]</f>
        <v>25.372</v>
      </c>
      <c r="V94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4" s="14">
        <f>(700*Table1[[#This Row],[Tm]]/(100-Table1[[#This Row],[Decimal degree latitude]])+15*Table1[[#This Row],[T-Td]])/(80-Table1[[#This Row],[Average temperature (°C)]])*365</f>
        <v>1576.2465057368033</v>
      </c>
    </row>
    <row r="95" spans="1:23" x14ac:dyDescent="0.25">
      <c r="A95" s="2" t="s">
        <v>26</v>
      </c>
      <c r="B95" s="2" t="s">
        <v>365</v>
      </c>
      <c r="C95" s="2"/>
      <c r="D95" s="2"/>
      <c r="E95" s="2"/>
      <c r="F95" s="2"/>
      <c r="G95" s="2"/>
      <c r="H95" s="2"/>
      <c r="I95" s="2">
        <v>18.579999999999998</v>
      </c>
      <c r="J95" s="2">
        <v>0.4</v>
      </c>
      <c r="K95" s="2">
        <v>1</v>
      </c>
      <c r="L9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5" s="2">
        <f>1000000/1000/9.81/IF(Table1[[#This Row],[Dam height (m)]]="",10,Table1[[#This Row],[Dam height (m)]])*3600</f>
        <v>36697.247706422015</v>
      </c>
      <c r="N9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5" s="2">
        <v>-0.36774400000000002</v>
      </c>
      <c r="P95" s="2">
        <v>35.283137000000004</v>
      </c>
      <c r="Q95" s="12">
        <v>762</v>
      </c>
      <c r="R95" s="12">
        <v>20.8</v>
      </c>
      <c r="S95" s="12">
        <f t="shared" si="23"/>
        <v>10.799999999999997</v>
      </c>
      <c r="T95" s="12">
        <f t="shared" si="24"/>
        <v>2.8999999999999986</v>
      </c>
      <c r="U95" s="12">
        <f>Table1[[#This Row],[Average temperature (°C)]]+0.006*Table1[[#This Row],[Average Country Elevation]]</f>
        <v>25.372</v>
      </c>
      <c r="V95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5" s="14">
        <f>(700*Table1[[#This Row],[Tm]]/(100-Table1[[#This Row],[Decimal degree latitude]])+15*Table1[[#This Row],[T-Td]])/(80-Table1[[#This Row],[Average temperature (°C)]])*365</f>
        <v>1580.0262114797742</v>
      </c>
    </row>
    <row r="96" spans="1:23" x14ac:dyDescent="0.25">
      <c r="A96" s="2" t="s">
        <v>26</v>
      </c>
      <c r="B96" s="2" t="s">
        <v>364</v>
      </c>
      <c r="C96" s="2"/>
      <c r="D96" s="2"/>
      <c r="E96" s="2"/>
      <c r="F96" s="2"/>
      <c r="G96" s="2"/>
      <c r="H96" s="2"/>
      <c r="I96" s="2">
        <v>7.4</v>
      </c>
      <c r="J96" s="2">
        <v>0.4</v>
      </c>
      <c r="K96" s="2">
        <v>1</v>
      </c>
      <c r="L9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6" s="2">
        <f>1000000/1000/9.81/IF(Table1[[#This Row],[Dam height (m)]]="",10,Table1[[#This Row],[Dam height (m)]])*3600</f>
        <v>36697.247706422015</v>
      </c>
      <c r="N9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6" s="2">
        <v>-0.74944599999999995</v>
      </c>
      <c r="P96" s="2">
        <v>37.174723</v>
      </c>
      <c r="Q96" s="12">
        <v>762</v>
      </c>
      <c r="R96" s="12">
        <v>20.8</v>
      </c>
      <c r="S96" s="12">
        <f t="shared" si="23"/>
        <v>10.799999999999997</v>
      </c>
      <c r="T96" s="12">
        <f t="shared" si="24"/>
        <v>2.8999999999999986</v>
      </c>
      <c r="U96" s="12">
        <f>Table1[[#This Row],[Average temperature (°C)]]+0.006*Table1[[#This Row],[Average Country Elevation]]</f>
        <v>25.372</v>
      </c>
      <c r="V96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W96" s="14">
        <f>(700*Table1[[#This Row],[Tm]]/(100-Table1[[#This Row],[Decimal degree latitude]])+15*Table1[[#This Row],[T-Td]])/(80-Table1[[#This Row],[Average temperature (°C)]])*365</f>
        <v>1575.8927727275411</v>
      </c>
    </row>
    <row r="97" spans="1:23" x14ac:dyDescent="0.25">
      <c r="A97" s="2" t="s">
        <v>246</v>
      </c>
      <c r="B97" s="2" t="s">
        <v>296</v>
      </c>
      <c r="C97" s="2"/>
      <c r="D97" s="2"/>
      <c r="E97" s="2">
        <v>1996</v>
      </c>
      <c r="F97" s="2">
        <v>185</v>
      </c>
      <c r="G97" s="2">
        <f>1950000000000/1000000000</f>
        <v>1950</v>
      </c>
      <c r="H97" s="2">
        <f>Table1[[#This Row],[Reservoir capacity (million m3)]]/Table1[[#This Row],[Dam height (m)]]*2</f>
        <v>21.081081081081081</v>
      </c>
      <c r="I97" s="2">
        <v>72</v>
      </c>
      <c r="J97" s="2">
        <v>0.78</v>
      </c>
      <c r="K97" s="2">
        <v>2</v>
      </c>
      <c r="L9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97" s="2">
        <f>1000000/1000/9.81/IF(Table1[[#This Row],[Dam height (m)]]="",10,Table1[[#This Row],[Dam height (m)]])*3600</f>
        <v>1983.635011157947</v>
      </c>
      <c r="N97" s="3">
        <f>(Table1[[#This Row],[Reservoir area (km2)]]*1000000*Table1[[#This Row],[Eo (mm/year)]]/1000)/Table1[[#This Row],[Hydroelectricity (MW)]]/8760*Table1[[#This Row],[Water consumption allocation]]/Table1[[#This Row],[CF]]</f>
        <v>31.994701465818554</v>
      </c>
      <c r="O97" s="2">
        <v>-29.336943999999999</v>
      </c>
      <c r="P97" s="2">
        <v>28.506111000000001</v>
      </c>
      <c r="Q97" s="12">
        <v>2161</v>
      </c>
      <c r="R97" s="12">
        <v>13.6</v>
      </c>
      <c r="S97" s="12">
        <f>21.5-7.6</f>
        <v>13.9</v>
      </c>
      <c r="T97" s="12">
        <f>19.3-6.9</f>
        <v>12.4</v>
      </c>
      <c r="U97" s="12">
        <f>Table1[[#This Row],[Average temperature (°C)]]+0.006*Table1[[#This Row],[Average Country Elevation]]</f>
        <v>26.566000000000003</v>
      </c>
      <c r="V97" s="12">
        <f>0.0023*Table1[[#This Row],[Average Country Elevation]]+0.37*Table1[[#This Row],[Average temperature (°C)]]+0.53*Table1[[#This Row],[Average Range]]+0.35*Table1[[#This Row],[Average range hot-cold]]-10.9</f>
        <v>10.809300000000002</v>
      </c>
      <c r="W97" s="14">
        <f>(700*Table1[[#This Row],[Tm]]/(100-Table1[[#This Row],[Decimal degree latitude]])+15*Table1[[#This Row],[T-Td]])/(80-Table1[[#This Row],[Average temperature (°C)]])*365</f>
        <v>1681.6415090434232</v>
      </c>
    </row>
    <row r="98" spans="1:23" x14ac:dyDescent="0.25">
      <c r="A98" s="2" t="s">
        <v>234</v>
      </c>
      <c r="B98" s="2" t="s">
        <v>322</v>
      </c>
      <c r="C98" s="2" t="s">
        <v>301</v>
      </c>
      <c r="D98" s="2" t="s">
        <v>323</v>
      </c>
      <c r="E98" s="2">
        <v>1966</v>
      </c>
      <c r="F98" s="2">
        <v>19</v>
      </c>
      <c r="G98" s="2">
        <v>238.6</v>
      </c>
      <c r="H98" s="2">
        <f>Table1[[#This Row],[Reservoir capacity (million m3)]]/Table1[[#This Row],[Dam height (m)]]*2</f>
        <v>25.11578947368421</v>
      </c>
      <c r="I98" s="2">
        <v>88</v>
      </c>
      <c r="J98" s="2">
        <v>0.6</v>
      </c>
      <c r="K98" s="2">
        <v>1</v>
      </c>
      <c r="L9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8" s="2">
        <f>1000000/1000/9.81/IF(Table1[[#This Row],[Dam height (m)]]="",10,Table1[[#This Row],[Dam height (m)]])*3600</f>
        <v>19314.34089811685</v>
      </c>
      <c r="N98" s="3">
        <f>(Table1[[#This Row],[Reservoir area (km2)]]*1000000*Table1[[#This Row],[Eo (mm/year)]]/1000)/Table1[[#This Row],[Hydroelectricity (MW)]]/8760*Table1[[#This Row],[Water consumption allocation]]/Table1[[#This Row],[CF]]</f>
        <v>92.153976363474328</v>
      </c>
      <c r="O98" s="2">
        <v>6.5083333333333337</v>
      </c>
      <c r="P98" s="2">
        <v>-10.65</v>
      </c>
      <c r="Q98" s="12">
        <v>243</v>
      </c>
      <c r="R98" s="12">
        <v>25.1</v>
      </c>
      <c r="S98" s="12">
        <f>29.7-22.2</f>
        <v>7.5</v>
      </c>
      <c r="T98" s="12">
        <f>26.3-23.9</f>
        <v>2.4000000000000021</v>
      </c>
      <c r="U98" s="12">
        <f>Table1[[#This Row],[Average temperature (°C)]]+0.006*Table1[[#This Row],[Average Country Elevation]]</f>
        <v>26.558</v>
      </c>
      <c r="V98" s="12">
        <f>0.0023*Table1[[#This Row],[Average Country Elevation]]+0.37*Table1[[#This Row],[Average temperature (°C)]]+0.53*Table1[[#This Row],[Average Range]]+0.35*Table1[[#This Row],[Average range hot-cold]]-10.9</f>
        <v>3.7609000000000012</v>
      </c>
      <c r="W98" s="14">
        <f>(700*Table1[[#This Row],[Tm]]/(100-Table1[[#This Row],[Decimal degree latitude]])+15*Table1[[#This Row],[T-Td]])/(80-Table1[[#This Row],[Average temperature (°C)]])*365</f>
        <v>1697.0915616292036</v>
      </c>
    </row>
    <row r="99" spans="1:23" x14ac:dyDescent="0.25">
      <c r="A99" s="2" t="s">
        <v>234</v>
      </c>
      <c r="B99" s="2" t="s">
        <v>324</v>
      </c>
      <c r="C99" s="2"/>
      <c r="D99" s="2"/>
      <c r="E99" s="2">
        <v>1942</v>
      </c>
      <c r="F99" s="2"/>
      <c r="G99" s="2"/>
      <c r="H99" s="2"/>
      <c r="I99" s="2">
        <v>5</v>
      </c>
      <c r="J99" s="2">
        <v>0.6</v>
      </c>
      <c r="K99" s="2">
        <v>1</v>
      </c>
      <c r="L9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99" s="2">
        <f>1000000/1000/9.81/IF(Table1[[#This Row],[Dam height (m)]]="",10,Table1[[#This Row],[Dam height (m)]])*3600</f>
        <v>36697.247706422015</v>
      </c>
      <c r="N9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99" s="2">
        <v>6.2975000000000003</v>
      </c>
      <c r="P99" s="2">
        <v>-10.302222</v>
      </c>
      <c r="Q99" s="12">
        <v>243</v>
      </c>
      <c r="R99" s="12">
        <v>25.1</v>
      </c>
      <c r="S99" s="12">
        <f>29.7-22.2</f>
        <v>7.5</v>
      </c>
      <c r="T99" s="12">
        <f>26.3-23.9</f>
        <v>2.4000000000000021</v>
      </c>
      <c r="U99" s="12">
        <f>Table1[[#This Row],[Average temperature (°C)]]+0.006*Table1[[#This Row],[Average Country Elevation]]</f>
        <v>26.558</v>
      </c>
      <c r="V99" s="12">
        <f>0.0023*Table1[[#This Row],[Average Country Elevation]]+0.37*Table1[[#This Row],[Average temperature (°C)]]+0.53*Table1[[#This Row],[Average Range]]+0.35*Table1[[#This Row],[Average range hot-cold]]-10.9</f>
        <v>3.7609000000000012</v>
      </c>
      <c r="W99" s="14">
        <f>(700*Table1[[#This Row],[Tm]]/(100-Table1[[#This Row],[Decimal degree latitude]])+15*Table1[[#This Row],[T-Td]])/(80-Table1[[#This Row],[Average temperature (°C)]])*365</f>
        <v>1694.1169578755362</v>
      </c>
    </row>
    <row r="100" spans="1:23" x14ac:dyDescent="0.25">
      <c r="A100" s="2" t="s">
        <v>245</v>
      </c>
      <c r="B100" s="2" t="s">
        <v>247</v>
      </c>
      <c r="C100" s="2" t="s">
        <v>248</v>
      </c>
      <c r="D100" s="2" t="s">
        <v>249</v>
      </c>
      <c r="E100" s="2">
        <v>2014</v>
      </c>
      <c r="F100" s="2">
        <v>54</v>
      </c>
      <c r="G100" s="2"/>
      <c r="H100" s="2"/>
      <c r="I100" s="2">
        <v>128.80000000000001</v>
      </c>
      <c r="J100" s="2">
        <v>0.57999999999999996</v>
      </c>
      <c r="K100" s="2">
        <v>1</v>
      </c>
      <c r="L10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0" s="2">
        <f>1000000/1000/9.81/IF(Table1[[#This Row],[Dam height (m)]]="",10,Table1[[#This Row],[Dam height (m)]])*3600</f>
        <v>6795.7866123003741</v>
      </c>
      <c r="N10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0" s="2">
        <v>-15.895300000000001</v>
      </c>
      <c r="P100" s="2">
        <v>34.754100000000001</v>
      </c>
      <c r="Q100" s="12">
        <v>779</v>
      </c>
      <c r="R100" s="12">
        <v>21.4</v>
      </c>
      <c r="S100" s="12">
        <f>26.4-15.6</f>
        <v>10.799999999999999</v>
      </c>
      <c r="T100" s="12">
        <f>22.8-17.4</f>
        <v>5.4000000000000021</v>
      </c>
      <c r="U100" s="12">
        <f>Table1[[#This Row],[Average temperature (°C)]]+0.006*Table1[[#This Row],[Average Country Elevation]]</f>
        <v>26.073999999999998</v>
      </c>
      <c r="V100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W100" s="14">
        <f>(700*Table1[[#This Row],[Tm]]/(100-Table1[[#This Row],[Decimal degree latitude]])+15*Table1[[#This Row],[T-Td]])/(80-Table1[[#This Row],[Average temperature (°C)]])*365</f>
        <v>1581.0899799156059</v>
      </c>
    </row>
    <row r="101" spans="1:23" x14ac:dyDescent="0.25">
      <c r="A101" s="2" t="s">
        <v>245</v>
      </c>
      <c r="B101" s="2" t="s">
        <v>250</v>
      </c>
      <c r="C101" s="2" t="s">
        <v>248</v>
      </c>
      <c r="D101" s="2" t="s">
        <v>249</v>
      </c>
      <c r="E101" s="2">
        <v>1992</v>
      </c>
      <c r="F101" s="2"/>
      <c r="G101" s="2"/>
      <c r="H101" s="2"/>
      <c r="I101" s="2">
        <v>124</v>
      </c>
      <c r="J101" s="2">
        <v>0.57999999999999996</v>
      </c>
      <c r="K101" s="2">
        <v>1</v>
      </c>
      <c r="L10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1" s="2">
        <f>1000000/1000/9.81/IF(Table1[[#This Row],[Dam height (m)]]="",10,Table1[[#This Row],[Dam height (m)]])*3600</f>
        <v>36697.247706422015</v>
      </c>
      <c r="N10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1" s="2">
        <v>-15.519299999999999</v>
      </c>
      <c r="P101" s="2">
        <v>34.826000000000001</v>
      </c>
      <c r="Q101" s="12">
        <v>779</v>
      </c>
      <c r="R101" s="12">
        <v>21.4</v>
      </c>
      <c r="S101" s="12">
        <f t="shared" ref="S101:S103" si="25">26.4-15.6</f>
        <v>10.799999999999999</v>
      </c>
      <c r="T101" s="12">
        <f t="shared" ref="T101:T103" si="26">22.8-17.4</f>
        <v>5.4000000000000021</v>
      </c>
      <c r="U101" s="12">
        <f>Table1[[#This Row],[Average temperature (°C)]]+0.006*Table1[[#This Row],[Average Country Elevation]]</f>
        <v>26.073999999999998</v>
      </c>
      <c r="V101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W101" s="14">
        <f>(700*Table1[[#This Row],[Tm]]/(100-Table1[[#This Row],[Decimal degree latitude]])+15*Table1[[#This Row],[T-Td]])/(80-Table1[[#This Row],[Average temperature (°C)]])*365</f>
        <v>1584.2827557080357</v>
      </c>
    </row>
    <row r="102" spans="1:23" x14ac:dyDescent="0.25">
      <c r="A102" s="2" t="s">
        <v>245</v>
      </c>
      <c r="B102" s="2" t="s">
        <v>251</v>
      </c>
      <c r="C102" s="2" t="s">
        <v>248</v>
      </c>
      <c r="D102" s="2" t="s">
        <v>249</v>
      </c>
      <c r="E102" s="2">
        <v>1996</v>
      </c>
      <c r="F102" s="2"/>
      <c r="G102" s="2"/>
      <c r="H102" s="2"/>
      <c r="I102" s="2">
        <v>91.6</v>
      </c>
      <c r="J102" s="2">
        <v>0.57999999999999996</v>
      </c>
      <c r="K102" s="2">
        <v>1</v>
      </c>
      <c r="L10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2" s="2">
        <f>1000000/1000/9.81/IF(Table1[[#This Row],[Dam height (m)]]="",10,Table1[[#This Row],[Dam height (m)]])*3600</f>
        <v>36697.247706422015</v>
      </c>
      <c r="N10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2" s="5">
        <v>-15.55</v>
      </c>
      <c r="P102" s="5">
        <v>34.783333300000002</v>
      </c>
      <c r="Q102" s="12">
        <v>779</v>
      </c>
      <c r="R102" s="12">
        <v>21.4</v>
      </c>
      <c r="S102" s="12">
        <f t="shared" si="25"/>
        <v>10.799999999999999</v>
      </c>
      <c r="T102" s="12">
        <f t="shared" si="26"/>
        <v>5.4000000000000021</v>
      </c>
      <c r="U102" s="12">
        <f>Table1[[#This Row],[Average temperature (°C)]]+0.006*Table1[[#This Row],[Average Country Elevation]]</f>
        <v>26.073999999999998</v>
      </c>
      <c r="V102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W102" s="14">
        <f>(700*Table1[[#This Row],[Tm]]/(100-Table1[[#This Row],[Decimal degree latitude]])+15*Table1[[#This Row],[T-Td]])/(80-Table1[[#This Row],[Average temperature (°C)]])*365</f>
        <v>1584.0212899465826</v>
      </c>
    </row>
    <row r="103" spans="1:23" x14ac:dyDescent="0.25">
      <c r="A103" s="2" t="s">
        <v>245</v>
      </c>
      <c r="B103" s="2" t="s">
        <v>252</v>
      </c>
      <c r="C103" s="2" t="s">
        <v>252</v>
      </c>
      <c r="D103" s="2" t="s">
        <v>249</v>
      </c>
      <c r="E103" s="2">
        <v>1995</v>
      </c>
      <c r="F103" s="2"/>
      <c r="G103" s="2"/>
      <c r="H103" s="2"/>
      <c r="I103" s="2">
        <v>4.3499999999999996</v>
      </c>
      <c r="J103" s="2">
        <v>0.57999999999999996</v>
      </c>
      <c r="K103" s="2">
        <v>1</v>
      </c>
      <c r="L10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3" s="2">
        <f>1000000/1000/9.81/IF(Table1[[#This Row],[Dam height (m)]]="",10,Table1[[#This Row],[Dam height (m)]])*3600</f>
        <v>36697.247706422015</v>
      </c>
      <c r="N10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3" s="2">
        <v>-10.471667</v>
      </c>
      <c r="P103" s="2">
        <v>34.172221999999998</v>
      </c>
      <c r="Q103" s="12">
        <v>779</v>
      </c>
      <c r="R103" s="12">
        <v>21.4</v>
      </c>
      <c r="S103" s="12">
        <f t="shared" si="25"/>
        <v>10.799999999999999</v>
      </c>
      <c r="T103" s="12">
        <f t="shared" si="26"/>
        <v>5.4000000000000021</v>
      </c>
      <c r="U103" s="12">
        <f>Table1[[#This Row],[Average temperature (°C)]]+0.006*Table1[[#This Row],[Average Country Elevation]]</f>
        <v>26.073999999999998</v>
      </c>
      <c r="V103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W103" s="14">
        <f>(700*Table1[[#This Row],[Tm]]/(100-Table1[[#This Row],[Decimal degree latitude]])+15*Table1[[#This Row],[T-Td]])/(80-Table1[[#This Row],[Average temperature (°C)]])*365</f>
        <v>1629.2486530404808</v>
      </c>
    </row>
    <row r="104" spans="1:23" x14ac:dyDescent="0.25">
      <c r="A104" s="2" t="s">
        <v>235</v>
      </c>
      <c r="B104" s="2" t="s">
        <v>326</v>
      </c>
      <c r="C104" s="2" t="s">
        <v>327</v>
      </c>
      <c r="D104" s="2" t="s">
        <v>328</v>
      </c>
      <c r="E104" s="2">
        <v>1988</v>
      </c>
      <c r="F104" s="2">
        <v>70</v>
      </c>
      <c r="G104" s="2">
        <v>11270</v>
      </c>
      <c r="H104" s="2">
        <v>477</v>
      </c>
      <c r="I104" s="2">
        <v>205</v>
      </c>
      <c r="J104" s="2">
        <v>0.56999999999999995</v>
      </c>
      <c r="K104" s="2">
        <v>4</v>
      </c>
      <c r="L10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0.19600000000000001</v>
      </c>
      <c r="M104" s="2">
        <f>1000000/1000/9.81/IF(Table1[[#This Row],[Dam height (m)]]="",10,Table1[[#This Row],[Dam height (m)]])*3600</f>
        <v>5242.463958060288</v>
      </c>
      <c r="N104" s="3">
        <f>(Table1[[#This Row],[Reservoir area (km2)]]*1000000*Table1[[#This Row],[Eo (mm/year)]]/1000)/Table1[[#This Row],[Hydroelectricity (MW)]]/8760*Table1[[#This Row],[Water consumption allocation]]/Table1[[#This Row],[CF]]</f>
        <v>245.64744678982598</v>
      </c>
      <c r="O104" s="2">
        <v>13.195555555555556</v>
      </c>
      <c r="P104" s="2">
        <v>-10.43</v>
      </c>
      <c r="Q104" s="12">
        <v>343</v>
      </c>
      <c r="R104" s="12">
        <v>28.2</v>
      </c>
      <c r="S104" s="12">
        <f>33.6-22.9</f>
        <v>10.700000000000003</v>
      </c>
      <c r="T104" s="12">
        <f>32.8-23.7</f>
        <v>9.0999999999999979</v>
      </c>
      <c r="U104" s="12">
        <f>Table1[[#This Row],[Average temperature (°C)]]+0.006*Table1[[#This Row],[Average Country Elevation]]</f>
        <v>30.257999999999999</v>
      </c>
      <c r="V104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W104" s="14">
        <f>(700*Table1[[#This Row],[Tm]]/(100-Table1[[#This Row],[Decimal degree latitude]])+15*Table1[[#This Row],[T-Td]])/(80-Table1[[#This Row],[Average temperature (°C)]])*365</f>
        <v>2689.4942927603065</v>
      </c>
    </row>
    <row r="105" spans="1:23" x14ac:dyDescent="0.25">
      <c r="A105" s="2" t="s">
        <v>235</v>
      </c>
      <c r="B105" s="2" t="s">
        <v>325</v>
      </c>
      <c r="C105" s="2"/>
      <c r="D105" s="2"/>
      <c r="E105" s="2">
        <v>2014</v>
      </c>
      <c r="F105" s="2"/>
      <c r="G105" s="2"/>
      <c r="H105" s="2"/>
      <c r="I105" s="2">
        <v>62.4</v>
      </c>
      <c r="J105" s="2">
        <v>0.56999999999999995</v>
      </c>
      <c r="K105" s="2">
        <v>1</v>
      </c>
      <c r="L10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5" s="2">
        <f>1000000/1000/9.81/IF(Table1[[#This Row],[Dam height (m)]]="",10,Table1[[#This Row],[Dam height (m)]])*3600</f>
        <v>36697.247706422015</v>
      </c>
      <c r="N10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5" s="2">
        <v>13.04</v>
      </c>
      <c r="P105" s="2">
        <v>-8.4571000000000005</v>
      </c>
      <c r="Q105" s="12">
        <v>343</v>
      </c>
      <c r="R105" s="12">
        <v>28.2</v>
      </c>
      <c r="S105" s="12">
        <f t="shared" ref="S105:S108" si="27">33.6-22.9</f>
        <v>10.700000000000003</v>
      </c>
      <c r="T105" s="12">
        <f t="shared" ref="T105:T108" si="28">32.8-23.7</f>
        <v>9.0999999999999979</v>
      </c>
      <c r="U105" s="12">
        <f>Table1[[#This Row],[Average temperature (°C)]]+0.006*Table1[[#This Row],[Average Country Elevation]]</f>
        <v>30.257999999999999</v>
      </c>
      <c r="V105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W105" s="14">
        <f>(700*Table1[[#This Row],[Tm]]/(100-Table1[[#This Row],[Decimal degree latitude]])+15*Table1[[#This Row],[T-Td]])/(80-Table1[[#This Row],[Average temperature (°C)]])*365</f>
        <v>2686.4187243147339</v>
      </c>
    </row>
    <row r="106" spans="1:23" x14ac:dyDescent="0.25">
      <c r="A106" s="2" t="s">
        <v>235</v>
      </c>
      <c r="B106" s="2" t="s">
        <v>329</v>
      </c>
      <c r="C106" s="2" t="s">
        <v>330</v>
      </c>
      <c r="D106" s="2" t="s">
        <v>331</v>
      </c>
      <c r="E106" s="2">
        <v>1982</v>
      </c>
      <c r="F106" s="2">
        <v>23</v>
      </c>
      <c r="G106" s="2">
        <v>2170</v>
      </c>
      <c r="H106" s="2">
        <v>430</v>
      </c>
      <c r="I106" s="2">
        <v>47.64</v>
      </c>
      <c r="J106" s="2">
        <v>0.56999999999999995</v>
      </c>
      <c r="K106" s="2">
        <v>1</v>
      </c>
      <c r="L10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6" s="2">
        <f>1000000/1000/9.81/IF(Table1[[#This Row],[Dam height (m)]]="",10,Table1[[#This Row],[Dam height (m)]])*3600</f>
        <v>15955.325089748701</v>
      </c>
      <c r="N106" s="3">
        <f>(Table1[[#This Row],[Reservoir area (km2)]]*1000000*Table1[[#This Row],[Eo (mm/year)]]/1000)/Table1[[#This Row],[Hydroelectricity (MW)]]/8760*Table1[[#This Row],[Water consumption allocation]]/Table1[[#This Row],[CF]]</f>
        <v>4806.9201095722683</v>
      </c>
      <c r="O106" s="2">
        <v>11.638055555555555</v>
      </c>
      <c r="P106" s="2">
        <v>-8.2294444444444448</v>
      </c>
      <c r="Q106" s="12">
        <v>343</v>
      </c>
      <c r="R106" s="12">
        <v>28.2</v>
      </c>
      <c r="S106" s="12">
        <f t="shared" si="27"/>
        <v>10.700000000000003</v>
      </c>
      <c r="T106" s="12">
        <f t="shared" si="28"/>
        <v>9.0999999999999979</v>
      </c>
      <c r="U106" s="12">
        <f>Table1[[#This Row],[Average temperature (°C)]]+0.006*Table1[[#This Row],[Average Country Elevation]]</f>
        <v>30.257999999999999</v>
      </c>
      <c r="V106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W106" s="14">
        <f>(700*Table1[[#This Row],[Tm]]/(100-Table1[[#This Row],[Decimal degree latitude]])+15*Table1[[#This Row],[T-Td]])/(80-Table1[[#This Row],[Average temperature (°C)]])*365</f>
        <v>2659.18874120181</v>
      </c>
    </row>
    <row r="107" spans="1:23" x14ac:dyDescent="0.25">
      <c r="A107" s="2" t="s">
        <v>235</v>
      </c>
      <c r="B107" s="2" t="s">
        <v>366</v>
      </c>
      <c r="C107" s="2"/>
      <c r="D107" s="2"/>
      <c r="E107" s="2"/>
      <c r="F107" s="2"/>
      <c r="G107" s="2"/>
      <c r="H107" s="2"/>
      <c r="I107" s="2">
        <v>35.738</v>
      </c>
      <c r="J107" s="2">
        <v>0.56999999999999995</v>
      </c>
      <c r="K107" s="2">
        <v>1</v>
      </c>
      <c r="L10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7" s="2">
        <f>1000000/1000/9.81/IF(Table1[[#This Row],[Dam height (m)]]="",10,Table1[[#This Row],[Dam height (m)]])*3600</f>
        <v>36697.247706422015</v>
      </c>
      <c r="N10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7" s="2">
        <v>13.8908</v>
      </c>
      <c r="P107" s="2">
        <v>-11.7112</v>
      </c>
      <c r="Q107" s="12">
        <v>343</v>
      </c>
      <c r="R107" s="12">
        <v>28.2</v>
      </c>
      <c r="S107" s="12">
        <f t="shared" si="27"/>
        <v>10.700000000000003</v>
      </c>
      <c r="T107" s="12">
        <f t="shared" si="28"/>
        <v>9.0999999999999979</v>
      </c>
      <c r="U107" s="12">
        <f>Table1[[#This Row],[Average temperature (°C)]]+0.006*Table1[[#This Row],[Average Country Elevation]]</f>
        <v>30.257999999999999</v>
      </c>
      <c r="V107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W107" s="14">
        <f>(700*Table1[[#This Row],[Tm]]/(100-Table1[[#This Row],[Decimal degree latitude]])+15*Table1[[#This Row],[T-Td]])/(80-Table1[[#This Row],[Average temperature (°C)]])*365</f>
        <v>2703.3761436167874</v>
      </c>
    </row>
    <row r="108" spans="1:23" x14ac:dyDescent="0.25">
      <c r="A108" s="2" t="s">
        <v>235</v>
      </c>
      <c r="B108" s="2" t="s">
        <v>332</v>
      </c>
      <c r="C108" s="2" t="s">
        <v>236</v>
      </c>
      <c r="D108" s="2" t="s">
        <v>331</v>
      </c>
      <c r="E108" s="2">
        <v>1929</v>
      </c>
      <c r="F108" s="2"/>
      <c r="G108" s="2"/>
      <c r="H108" s="2"/>
      <c r="I108" s="2">
        <v>5.7</v>
      </c>
      <c r="J108" s="2">
        <v>0.56999999999999995</v>
      </c>
      <c r="K108" s="2">
        <v>1</v>
      </c>
      <c r="L10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08" s="2">
        <f>1000000/1000/9.81/IF(Table1[[#This Row],[Dam height (m)]]="",10,Table1[[#This Row],[Dam height (m)]])*3600</f>
        <v>36697.247706422015</v>
      </c>
      <c r="N10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08" s="2">
        <v>12.638055555555555</v>
      </c>
      <c r="P108" s="2">
        <v>-7.9252777777777776</v>
      </c>
      <c r="Q108" s="12">
        <v>343</v>
      </c>
      <c r="R108" s="12">
        <v>28.2</v>
      </c>
      <c r="S108" s="12">
        <f t="shared" si="27"/>
        <v>10.700000000000003</v>
      </c>
      <c r="T108" s="12">
        <f t="shared" si="28"/>
        <v>9.0999999999999979</v>
      </c>
      <c r="U108" s="12">
        <f>Table1[[#This Row],[Average temperature (°C)]]+0.006*Table1[[#This Row],[Average Country Elevation]]</f>
        <v>30.257999999999999</v>
      </c>
      <c r="V108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W108" s="14">
        <f>(700*Table1[[#This Row],[Tm]]/(100-Table1[[#This Row],[Decimal degree latitude]])+15*Table1[[#This Row],[T-Td]])/(80-Table1[[#This Row],[Average temperature (°C)]])*365</f>
        <v>2678.5223892065737</v>
      </c>
    </row>
    <row r="109" spans="1:23" x14ac:dyDescent="0.25">
      <c r="A109" s="2" t="s">
        <v>342</v>
      </c>
      <c r="B109" s="2" t="s">
        <v>346</v>
      </c>
      <c r="C109" s="2" t="s">
        <v>328</v>
      </c>
      <c r="D109" s="2"/>
      <c r="E109" s="2">
        <v>1988</v>
      </c>
      <c r="F109" s="2">
        <v>65</v>
      </c>
      <c r="G109" s="2">
        <v>11.3</v>
      </c>
      <c r="H109" s="2">
        <v>477</v>
      </c>
      <c r="I109" s="2">
        <v>49</v>
      </c>
      <c r="J109" s="2">
        <v>0.56000000000000005</v>
      </c>
      <c r="K109" s="2">
        <v>3</v>
      </c>
      <c r="L10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09" s="2">
        <f>1000000/1000/9.81/IF(Table1[[#This Row],[Dam height (m)]]="",10,Table1[[#This Row],[Dam height (m)]])*3600</f>
        <v>5645.7304163726176</v>
      </c>
      <c r="N109" s="3">
        <f>(Table1[[#This Row],[Reservoir area (km2)]]*1000000*Table1[[#This Row],[Eo (mm/year)]]/1000)/Table1[[#This Row],[Hydroelectricity (MW)]]/8760*Table1[[#This Row],[Water consumption allocation]]/Table1[[#This Row],[CF]]</f>
        <v>889.68904856782706</v>
      </c>
      <c r="O109" s="2">
        <v>13.195556</v>
      </c>
      <c r="P109" s="2">
        <v>-10.428889</v>
      </c>
      <c r="Q109" s="12">
        <v>276</v>
      </c>
      <c r="R109" s="12">
        <v>27.5</v>
      </c>
      <c r="S109" s="12">
        <f>33-22.1</f>
        <v>10.899999999999999</v>
      </c>
      <c r="T109" s="12">
        <f>31.9-21.1</f>
        <v>10.799999999999997</v>
      </c>
      <c r="U109" s="12">
        <f>Table1[[#This Row],[Average temperature (°C)]]+0.006*Table1[[#This Row],[Average Country Elevation]]</f>
        <v>29.155999999999999</v>
      </c>
      <c r="V109" s="12">
        <f>0.0023*Table1[[#This Row],[Average Country Elevation]]+0.37*Table1[[#This Row],[Average temperature (°C)]]+0.53*Table1[[#This Row],[Average Range]]+0.35*Table1[[#This Row],[Average range hot-cold]]-10.9</f>
        <v>9.4667999999999974</v>
      </c>
      <c r="W109" s="14">
        <f>(700*Table1[[#This Row],[Tm]]/(100-Table1[[#This Row],[Decimal degree latitude]])+15*Table1[[#This Row],[T-Td]])/(80-Table1[[#This Row],[Average temperature (°C)]])*365</f>
        <v>2621.874915542588</v>
      </c>
    </row>
    <row r="110" spans="1:23" x14ac:dyDescent="0.25">
      <c r="A110" s="2" t="s">
        <v>31</v>
      </c>
      <c r="B110" s="2" t="s">
        <v>368</v>
      </c>
      <c r="C110" s="2" t="s">
        <v>369</v>
      </c>
      <c r="D110" s="2" t="s">
        <v>146</v>
      </c>
      <c r="E110" s="2">
        <v>1981</v>
      </c>
      <c r="F110" s="2">
        <v>94</v>
      </c>
      <c r="G110" s="2">
        <v>216</v>
      </c>
      <c r="H110" s="2">
        <v>0.75</v>
      </c>
      <c r="I110" s="2">
        <v>350</v>
      </c>
      <c r="J110" s="2">
        <v>0.24</v>
      </c>
      <c r="K110" s="2">
        <v>3</v>
      </c>
      <c r="L1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10" s="2">
        <f>1000000/1000/9.81/IF(Table1[[#This Row],[Dam height (m)]]="",10,Table1[[#This Row],[Dam height (m)]])*3600</f>
        <v>3903.9625219597892</v>
      </c>
      <c r="N110" s="3">
        <f>(Table1[[#This Row],[Reservoir area (km2)]]*1000000*Table1[[#This Row],[Eo (mm/year)]]/1000)/Table1[[#This Row],[Hydroelectricity (MW)]]/8760*Table1[[#This Row],[Water consumption allocation]]/Table1[[#This Row],[CF]]</f>
        <v>0.54466683282020523</v>
      </c>
      <c r="O110" s="2">
        <v>30.675000000000001</v>
      </c>
      <c r="P110" s="2">
        <v>-9.1994444444444454</v>
      </c>
      <c r="Q110" s="12">
        <v>909</v>
      </c>
      <c r="R110" s="12">
        <v>17.399999999999999</v>
      </c>
      <c r="S110" s="12">
        <f>22.6-12.4</f>
        <v>10.200000000000001</v>
      </c>
      <c r="T110" s="12">
        <f>24.6-11.1</f>
        <v>13.500000000000002</v>
      </c>
      <c r="U110" s="12">
        <f>Table1[[#This Row],[Average temperature (°C)]]+0.006*Table1[[#This Row],[Average Country Elevation]]</f>
        <v>22.853999999999999</v>
      </c>
      <c r="V110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0" s="14">
        <f>(700*Table1[[#This Row],[Tm]]/(100-Table1[[#This Row],[Decimal degree latitude]])+15*Table1[[#This Row],[T-Td]])/(80-Table1[[#This Row],[Average temperature (°C)]])*365</f>
        <v>2024.1800114263626</v>
      </c>
    </row>
    <row r="111" spans="1:23" x14ac:dyDescent="0.25">
      <c r="A111" s="2" t="s">
        <v>31</v>
      </c>
      <c r="B111" s="2" t="s">
        <v>151</v>
      </c>
      <c r="C111" s="2" t="s">
        <v>208</v>
      </c>
      <c r="D111" s="2" t="s">
        <v>146</v>
      </c>
      <c r="E111" s="2">
        <v>2004</v>
      </c>
      <c r="F111" s="2">
        <v>600</v>
      </c>
      <c r="G111" s="2">
        <v>1.26</v>
      </c>
      <c r="H111" s="2">
        <v>0.14000000000000001</v>
      </c>
      <c r="I111" s="2">
        <v>466</v>
      </c>
      <c r="J111" s="2">
        <v>0.24</v>
      </c>
      <c r="K111" s="2">
        <v>1</v>
      </c>
      <c r="L1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11" s="2">
        <f>1000000/1000/9.81/IF(Table1[[#This Row],[Dam height (m)]]="",10,Table1[[#This Row],[Dam height (m)]])*3600</f>
        <v>611.62079510703359</v>
      </c>
      <c r="N111" s="3">
        <f>(Table1[[#This Row],[Reservoir area (km2)]]*1000000*Table1[[#This Row],[Eo (mm/year)]]/1000)/Table1[[#This Row],[Hydroelectricity (MW)]]/8760*Table1[[#This Row],[Water consumption allocation]]/Table1[[#This Row],[CF]]</f>
        <v>0.29359572105573656</v>
      </c>
      <c r="O111" s="2">
        <v>32.206667000000003</v>
      </c>
      <c r="P111" s="2">
        <v>-6.5308330000000003</v>
      </c>
      <c r="Q111" s="12">
        <v>909</v>
      </c>
      <c r="R111" s="12">
        <v>17.399999999999999</v>
      </c>
      <c r="S111" s="12">
        <f t="shared" ref="S111:S129" si="29">22.6-12.4</f>
        <v>10.200000000000001</v>
      </c>
      <c r="T111" s="12">
        <f t="shared" ref="T111:T129" si="30">24.6-11.1</f>
        <v>13.500000000000002</v>
      </c>
      <c r="U111" s="12">
        <f>Table1[[#This Row],[Average temperature (°C)]]+0.006*Table1[[#This Row],[Average Country Elevation]]</f>
        <v>22.853999999999999</v>
      </c>
      <c r="V111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1" s="14">
        <f>(700*Table1[[#This Row],[Tm]]/(100-Table1[[#This Row],[Decimal degree latitude]])+15*Table1[[#This Row],[T-Td]])/(80-Table1[[#This Row],[Average temperature (°C)]])*365</f>
        <v>2054.5795005683754</v>
      </c>
    </row>
    <row r="112" spans="1:23" x14ac:dyDescent="0.25">
      <c r="A112" s="2" t="s">
        <v>31</v>
      </c>
      <c r="B112" s="2" t="s">
        <v>188</v>
      </c>
      <c r="C112" s="2" t="s">
        <v>217</v>
      </c>
      <c r="D112" s="2" t="s">
        <v>146</v>
      </c>
      <c r="E112" s="2">
        <v>1935</v>
      </c>
      <c r="F112" s="2">
        <v>71</v>
      </c>
      <c r="G112" s="2">
        <v>96</v>
      </c>
      <c r="H112" s="2">
        <v>0.6</v>
      </c>
      <c r="I112" s="11">
        <v>8.8000000000000007</v>
      </c>
      <c r="J112" s="2">
        <v>0.24</v>
      </c>
      <c r="K112" s="11">
        <v>2</v>
      </c>
      <c r="L112" s="11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12" s="11">
        <f>1000000/1000/9.81/IF(Table1[[#This Row],[Dam height (m)]]="",10,Table1[[#This Row],[Dam height (m)]])*3600</f>
        <v>5168.6264375242281</v>
      </c>
      <c r="N112" s="3">
        <f>(Table1[[#This Row],[Reservoir area (km2)]]*1000000*Table1[[#This Row],[Eo (mm/year)]]/1000)/Table1[[#This Row],[Hydroelectricity (MW)]]/8760*Table1[[#This Row],[Water consumption allocation]]/Table1[[#This Row],[CF]]</f>
        <v>29.338392252977961</v>
      </c>
      <c r="O112" s="2">
        <v>31.355149000000001</v>
      </c>
      <c r="P112" s="2">
        <v>-8.1367879999999992</v>
      </c>
      <c r="Q112" s="12">
        <v>909</v>
      </c>
      <c r="R112" s="12">
        <v>17.399999999999999</v>
      </c>
      <c r="S112" s="12">
        <f t="shared" si="29"/>
        <v>10.200000000000001</v>
      </c>
      <c r="T112" s="12">
        <f t="shared" si="30"/>
        <v>13.500000000000002</v>
      </c>
      <c r="U112" s="12">
        <f>Table1[[#This Row],[Average temperature (°C)]]+0.006*Table1[[#This Row],[Average Country Elevation]]</f>
        <v>22.853999999999999</v>
      </c>
      <c r="V112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2" s="14">
        <f>(700*Table1[[#This Row],[Tm]]/(100-Table1[[#This Row],[Decimal degree latitude]])+15*Table1[[#This Row],[T-Td]])/(80-Table1[[#This Row],[Average temperature (°C)]])*365</f>
        <v>2037.5116954933019</v>
      </c>
    </row>
    <row r="113" spans="1:23" x14ac:dyDescent="0.25">
      <c r="A113" s="2" t="s">
        <v>31</v>
      </c>
      <c r="B113" s="2" t="s">
        <v>147</v>
      </c>
      <c r="C113" s="2" t="s">
        <v>209</v>
      </c>
      <c r="D113" s="2" t="s">
        <v>146</v>
      </c>
      <c r="E113" s="2">
        <v>1996</v>
      </c>
      <c r="F113" s="2">
        <v>88</v>
      </c>
      <c r="G113" s="2">
        <v>3730</v>
      </c>
      <c r="H113" s="2">
        <v>80.37</v>
      </c>
      <c r="I113" s="2">
        <v>240</v>
      </c>
      <c r="J113" s="2">
        <v>0.24</v>
      </c>
      <c r="K113" s="2">
        <v>5</v>
      </c>
      <c r="L1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0.19600000000000001</v>
      </c>
      <c r="M113" s="2">
        <f>1000000/1000/9.81/IF(Table1[[#This Row],[Dam height (m)]]="",10,Table1[[#This Row],[Dam height (m)]])*3600</f>
        <v>4170.1417848206838</v>
      </c>
      <c r="N113" s="3">
        <f>(Table1[[#This Row],[Reservoir area (km2)]]*1000000*Table1[[#This Row],[Eo (mm/year)]]/1000)/Table1[[#This Row],[Hydroelectricity (MW)]]/8760*Table1[[#This Row],[Water consumption allocation]]/Table1[[#This Row],[CF]]</f>
        <v>65.713398469494095</v>
      </c>
      <c r="O113" s="2">
        <v>34.598332999999997</v>
      </c>
      <c r="P113" s="2">
        <v>-5.1974999999999998</v>
      </c>
      <c r="Q113" s="12">
        <v>909</v>
      </c>
      <c r="R113" s="12">
        <v>17.399999999999999</v>
      </c>
      <c r="S113" s="12">
        <f t="shared" si="29"/>
        <v>10.200000000000001</v>
      </c>
      <c r="T113" s="12">
        <f t="shared" si="30"/>
        <v>13.500000000000002</v>
      </c>
      <c r="U113" s="12">
        <f>Table1[[#This Row],[Average temperature (°C)]]+0.006*Table1[[#This Row],[Average Country Elevation]]</f>
        <v>22.853999999999999</v>
      </c>
      <c r="V113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3" s="14">
        <f>(700*Table1[[#This Row],[Tm]]/(100-Table1[[#This Row],[Decimal degree latitude]])+15*Table1[[#This Row],[T-Td]])/(80-Table1[[#This Row],[Average temperature (°C)]])*365</f>
        <v>2104.8952006500194</v>
      </c>
    </row>
    <row r="114" spans="1:23" x14ac:dyDescent="0.25">
      <c r="A114" s="2" t="s">
        <v>31</v>
      </c>
      <c r="B114" s="2" t="s">
        <v>148</v>
      </c>
      <c r="C114" s="2" t="s">
        <v>149</v>
      </c>
      <c r="D114" s="2" t="s">
        <v>146</v>
      </c>
      <c r="E114" s="2">
        <v>1990</v>
      </c>
      <c r="F114" s="2">
        <v>61</v>
      </c>
      <c r="G114" s="2">
        <v>81.5</v>
      </c>
      <c r="H114" s="2">
        <v>2.83</v>
      </c>
      <c r="I114" s="2">
        <v>240</v>
      </c>
      <c r="J114" s="2">
        <v>0.24</v>
      </c>
      <c r="K114" s="2">
        <v>3</v>
      </c>
      <c r="L1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14" s="2">
        <f>1000000/1000/9.81/IF(Table1[[#This Row],[Dam height (m)]]="",10,Table1[[#This Row],[Dam height (m)]])*3600</f>
        <v>6015.9422469544288</v>
      </c>
      <c r="N114" s="3">
        <f>(Table1[[#This Row],[Reservoir area (km2)]]*1000000*Table1[[#This Row],[Eo (mm/year)]]/1000)/Table1[[#This Row],[Hydroelectricity (MW)]]/8760*Table1[[#This Row],[Water consumption allocation]]/Table1[[#This Row],[CF]]</f>
        <v>3.0953941176711846</v>
      </c>
      <c r="O114" s="2">
        <v>33.93194444444444</v>
      </c>
      <c r="P114" s="2">
        <v>-4.6761111111111111</v>
      </c>
      <c r="Q114" s="12">
        <v>909</v>
      </c>
      <c r="R114" s="12">
        <v>17.399999999999999</v>
      </c>
      <c r="S114" s="12">
        <f t="shared" si="29"/>
        <v>10.200000000000001</v>
      </c>
      <c r="T114" s="12">
        <f t="shared" si="30"/>
        <v>13.500000000000002</v>
      </c>
      <c r="U114" s="12">
        <f>Table1[[#This Row],[Average temperature (°C)]]+0.006*Table1[[#This Row],[Average Country Elevation]]</f>
        <v>22.853999999999999</v>
      </c>
      <c r="V114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4" s="14">
        <f>(700*Table1[[#This Row],[Tm]]/(100-Table1[[#This Row],[Decimal degree latitude]])+15*Table1[[#This Row],[T-Td]])/(80-Table1[[#This Row],[Average temperature (°C)]])*365</f>
        <v>2090.5096668782194</v>
      </c>
    </row>
    <row r="115" spans="1:23" x14ac:dyDescent="0.25">
      <c r="A115" s="2" t="s">
        <v>31</v>
      </c>
      <c r="B115" s="2" t="s">
        <v>150</v>
      </c>
      <c r="C115" s="2" t="s">
        <v>210</v>
      </c>
      <c r="D115" s="2" t="s">
        <v>146</v>
      </c>
      <c r="E115" s="2">
        <v>1953</v>
      </c>
      <c r="F115" s="2">
        <v>133</v>
      </c>
      <c r="G115" s="2">
        <v>1484</v>
      </c>
      <c r="H115" s="2">
        <v>30.33</v>
      </c>
      <c r="I115" s="2">
        <v>135</v>
      </c>
      <c r="J115" s="2">
        <v>0.24</v>
      </c>
      <c r="K115" s="2">
        <v>2</v>
      </c>
      <c r="L1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M115" s="2">
        <f>1000000/1000/9.81/IF(Table1[[#This Row],[Dam height (m)]]="",10,Table1[[#This Row],[Dam height (m)]])*3600</f>
        <v>2759.1915568738359</v>
      </c>
      <c r="N115" s="3">
        <f>(Table1[[#This Row],[Reservoir area (km2)]]*1000000*Table1[[#This Row],[Eo (mm/year)]]/1000)/Table1[[#This Row],[Hydroelectricity (MW)]]/8760*Table1[[#This Row],[Water consumption allocation]]/Table1[[#This Row],[CF]]</f>
        <v>119.54024927808838</v>
      </c>
      <c r="O115" s="2">
        <v>32.106666666666669</v>
      </c>
      <c r="P115" s="2">
        <v>-6.4638888888888895</v>
      </c>
      <c r="Q115" s="12">
        <v>909</v>
      </c>
      <c r="R115" s="12">
        <v>17.399999999999999</v>
      </c>
      <c r="S115" s="12">
        <f t="shared" si="29"/>
        <v>10.200000000000001</v>
      </c>
      <c r="T115" s="12">
        <f t="shared" si="30"/>
        <v>13.500000000000002</v>
      </c>
      <c r="U115" s="12">
        <f>Table1[[#This Row],[Average temperature (°C)]]+0.006*Table1[[#This Row],[Average Country Elevation]]</f>
        <v>22.853999999999999</v>
      </c>
      <c r="V115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5" s="14">
        <f>(700*Table1[[#This Row],[Tm]]/(100-Table1[[#This Row],[Decimal degree latitude]])+15*Table1[[#This Row],[T-Td]])/(80-Table1[[#This Row],[Average temperature (°C)]])*365</f>
        <v>2052.5529095003376</v>
      </c>
    </row>
    <row r="116" spans="1:23" x14ac:dyDescent="0.25">
      <c r="A116" s="2" t="s">
        <v>31</v>
      </c>
      <c r="B116" s="2" t="s">
        <v>144</v>
      </c>
      <c r="C116" s="2" t="s">
        <v>145</v>
      </c>
      <c r="D116" s="2" t="s">
        <v>146</v>
      </c>
      <c r="E116" s="2">
        <v>1979</v>
      </c>
      <c r="F116" s="2">
        <v>82</v>
      </c>
      <c r="G116" s="2">
        <v>2760</v>
      </c>
      <c r="H116" s="2">
        <v>98.99</v>
      </c>
      <c r="I116" s="2">
        <v>139.06200000000001</v>
      </c>
      <c r="J116" s="2">
        <v>0.24</v>
      </c>
      <c r="K116" s="2">
        <v>3</v>
      </c>
      <c r="L1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16" s="2">
        <f>1000000/1000/9.81/IF(Table1[[#This Row],[Dam height (m)]]="",10,Table1[[#This Row],[Dam height (m)]])*3600</f>
        <v>4475.2741105392697</v>
      </c>
      <c r="N116" s="3">
        <f>(Table1[[#This Row],[Reservoir area (km2)]]*1000000*Table1[[#This Row],[Eo (mm/year)]]/1000)/Table1[[#This Row],[Hydroelectricity (MW)]]/8760*Table1[[#This Row],[Water consumption allocation]]/Table1[[#This Row],[CF]]</f>
        <v>184.1396851927704</v>
      </c>
      <c r="O116" s="2">
        <v>32.474722222222226</v>
      </c>
      <c r="P116" s="2">
        <v>-7.6372222222222215</v>
      </c>
      <c r="Q116" s="12">
        <v>909</v>
      </c>
      <c r="R116" s="12">
        <v>17.399999999999999</v>
      </c>
      <c r="S116" s="12">
        <f t="shared" si="29"/>
        <v>10.200000000000001</v>
      </c>
      <c r="T116" s="12">
        <f t="shared" si="30"/>
        <v>13.500000000000002</v>
      </c>
      <c r="U116" s="12">
        <f>Table1[[#This Row],[Average temperature (°C)]]+0.006*Table1[[#This Row],[Average Country Elevation]]</f>
        <v>22.853999999999999</v>
      </c>
      <c r="V116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6" s="14">
        <f>(700*Table1[[#This Row],[Tm]]/(100-Table1[[#This Row],[Decimal degree latitude]])+15*Table1[[#This Row],[T-Td]])/(80-Table1[[#This Row],[Average temperature (°C)]])*365</f>
        <v>2060.0414754837207</v>
      </c>
    </row>
    <row r="117" spans="1:23" x14ac:dyDescent="0.25">
      <c r="A117" s="2" t="s">
        <v>31</v>
      </c>
      <c r="B117" s="2" t="s">
        <v>155</v>
      </c>
      <c r="C117" s="2" t="s">
        <v>153</v>
      </c>
      <c r="D117" s="2" t="s">
        <v>146</v>
      </c>
      <c r="E117" s="2">
        <v>1986</v>
      </c>
      <c r="F117" s="2">
        <v>145</v>
      </c>
      <c r="G117" s="2">
        <v>273</v>
      </c>
      <c r="H117" s="2">
        <v>5.68</v>
      </c>
      <c r="I117" s="2">
        <v>65.400000000000006</v>
      </c>
      <c r="J117" s="2">
        <v>0.24</v>
      </c>
      <c r="K117" s="2">
        <v>3</v>
      </c>
      <c r="L1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17" s="2">
        <f>1000000/1000/9.81/IF(Table1[[#This Row],[Dam height (m)]]="",10,Table1[[#This Row],[Dam height (m)]])*3600</f>
        <v>2530.844669408415</v>
      </c>
      <c r="N117" s="3">
        <f>(Table1[[#This Row],[Reservoir area (km2)]]*1000000*Table1[[#This Row],[Eo (mm/year)]]/1000)/Table1[[#This Row],[Hydroelectricity (MW)]]/8760*Table1[[#This Row],[Water consumption allocation]]/Table1[[#This Row],[CF]]</f>
        <v>14.457683897220937</v>
      </c>
      <c r="O117" s="2">
        <v>31.814596000000002</v>
      </c>
      <c r="P117" s="2">
        <v>-6.8228059999999999</v>
      </c>
      <c r="Q117" s="12">
        <v>909</v>
      </c>
      <c r="R117" s="12">
        <v>17.399999999999999</v>
      </c>
      <c r="S117" s="12">
        <f t="shared" si="29"/>
        <v>10.200000000000001</v>
      </c>
      <c r="T117" s="12">
        <f t="shared" si="30"/>
        <v>13.500000000000002</v>
      </c>
      <c r="U117" s="12">
        <f>Table1[[#This Row],[Average temperature (°C)]]+0.006*Table1[[#This Row],[Average Country Elevation]]</f>
        <v>22.853999999999999</v>
      </c>
      <c r="V117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7" s="14">
        <f>(700*Table1[[#This Row],[Tm]]/(100-Table1[[#This Row],[Decimal degree latitude]])+15*Table1[[#This Row],[T-Td]])/(80-Table1[[#This Row],[Average temperature (°C)]])*365</f>
        <v>2046.6678862005103</v>
      </c>
    </row>
    <row r="118" spans="1:23" x14ac:dyDescent="0.25">
      <c r="A118" s="2" t="s">
        <v>31</v>
      </c>
      <c r="B118" s="2" t="s">
        <v>154</v>
      </c>
      <c r="C118" s="2" t="s">
        <v>213</v>
      </c>
      <c r="D118" s="2" t="s">
        <v>146</v>
      </c>
      <c r="E118" s="2">
        <v>1973</v>
      </c>
      <c r="F118" s="2">
        <v>72</v>
      </c>
      <c r="G118" s="2">
        <v>1217</v>
      </c>
      <c r="H118" s="2">
        <v>44.88</v>
      </c>
      <c r="I118" s="2">
        <v>40</v>
      </c>
      <c r="J118" s="2">
        <v>0.24</v>
      </c>
      <c r="K118" s="2">
        <v>2</v>
      </c>
      <c r="L1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18" s="2">
        <f>1000000/1000/9.81/IF(Table1[[#This Row],[Dam height (m)]]="",10,Table1[[#This Row],[Dam height (m)]])*3600</f>
        <v>5096.8399592252799</v>
      </c>
      <c r="N118" s="3">
        <f>(Table1[[#This Row],[Reservoir area (km2)]]*1000000*Table1[[#This Row],[Eo (mm/year)]]/1000)/Table1[[#This Row],[Hydroelectricity (MW)]]/8760*Table1[[#This Row],[Water consumption allocation]]/Table1[[#This Row],[CF]]</f>
        <v>496.51500002812975</v>
      </c>
      <c r="O118" s="2">
        <v>34.161111111111111</v>
      </c>
      <c r="P118" s="2">
        <v>-4.7488888888888887</v>
      </c>
      <c r="Q118" s="12">
        <v>909</v>
      </c>
      <c r="R118" s="12">
        <v>17.399999999999999</v>
      </c>
      <c r="S118" s="12">
        <f t="shared" si="29"/>
        <v>10.200000000000001</v>
      </c>
      <c r="T118" s="12">
        <f t="shared" si="30"/>
        <v>13.500000000000002</v>
      </c>
      <c r="U118" s="12">
        <f>Table1[[#This Row],[Average temperature (°C)]]+0.006*Table1[[#This Row],[Average Country Elevation]]</f>
        <v>22.853999999999999</v>
      </c>
      <c r="V118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8" s="14">
        <f>(700*Table1[[#This Row],[Tm]]/(100-Table1[[#This Row],[Decimal degree latitude]])+15*Table1[[#This Row],[T-Td]])/(80-Table1[[#This Row],[Average temperature (°C)]])*365</f>
        <v>2095.4239053073261</v>
      </c>
    </row>
    <row r="119" spans="1:23" x14ac:dyDescent="0.25">
      <c r="A119" s="2" t="s">
        <v>31</v>
      </c>
      <c r="B119" s="2" t="s">
        <v>161</v>
      </c>
      <c r="C119" s="2" t="s">
        <v>215</v>
      </c>
      <c r="D119" s="2" t="s">
        <v>146</v>
      </c>
      <c r="E119" s="2">
        <v>1979</v>
      </c>
      <c r="F119" s="2">
        <v>67</v>
      </c>
      <c r="G119" s="2">
        <v>807</v>
      </c>
      <c r="H119" s="2">
        <v>29.83</v>
      </c>
      <c r="I119" s="2">
        <v>36</v>
      </c>
      <c r="J119" s="2">
        <v>0.24</v>
      </c>
      <c r="K119" s="2">
        <v>3</v>
      </c>
      <c r="L11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19" s="2">
        <f>1000000/1000/9.81/IF(Table1[[#This Row],[Dam height (m)]]="",10,Table1[[#This Row],[Dam height (m)]])*3600</f>
        <v>5477.2011502122414</v>
      </c>
      <c r="N119" s="3">
        <f>(Table1[[#This Row],[Reservoir area (km2)]]*1000000*Table1[[#This Row],[Eo (mm/year)]]/1000)/Table1[[#This Row],[Hydroelectricity (MW)]]/8760*Table1[[#This Row],[Water consumption allocation]]/Table1[[#This Row],[CF]]</f>
        <v>142.36793059393554</v>
      </c>
      <c r="O119" s="2">
        <v>34.941666666666663</v>
      </c>
      <c r="P119" s="2">
        <v>-5.8394444444444442</v>
      </c>
      <c r="Q119" s="12">
        <v>909</v>
      </c>
      <c r="R119" s="12">
        <v>17.399999999999999</v>
      </c>
      <c r="S119" s="12">
        <f t="shared" si="29"/>
        <v>10.200000000000001</v>
      </c>
      <c r="T119" s="12">
        <f t="shared" si="30"/>
        <v>13.500000000000002</v>
      </c>
      <c r="U119" s="12">
        <f>Table1[[#This Row],[Average temperature (°C)]]+0.006*Table1[[#This Row],[Average Country Elevation]]</f>
        <v>22.853999999999999</v>
      </c>
      <c r="V119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19" s="14">
        <f>(700*Table1[[#This Row],[Tm]]/(100-Table1[[#This Row],[Decimal degree latitude]])+15*Table1[[#This Row],[T-Td]])/(80-Table1[[#This Row],[Average temperature (°C)]])*365</f>
        <v>2112.4218803443373</v>
      </c>
    </row>
    <row r="120" spans="1:23" x14ac:dyDescent="0.25">
      <c r="A120" s="2" t="s">
        <v>31</v>
      </c>
      <c r="B120" s="2" t="s">
        <v>163</v>
      </c>
      <c r="C120" s="2" t="s">
        <v>145</v>
      </c>
      <c r="D120" s="2" t="s">
        <v>146</v>
      </c>
      <c r="E120" s="2">
        <v>1944</v>
      </c>
      <c r="F120" s="2">
        <v>50</v>
      </c>
      <c r="G120" s="2">
        <v>83</v>
      </c>
      <c r="H120" s="2">
        <v>4.16</v>
      </c>
      <c r="I120" s="2">
        <v>31.2</v>
      </c>
      <c r="J120" s="2">
        <v>0.24</v>
      </c>
      <c r="K120" s="2">
        <v>3</v>
      </c>
      <c r="L12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0" s="2">
        <f>1000000/1000/9.81/IF(Table1[[#This Row],[Dam height (m)]]="",10,Table1[[#This Row],[Dam height (m)]])*3600</f>
        <v>7339.4495412844035</v>
      </c>
      <c r="N120" s="3">
        <f>(Table1[[#This Row],[Reservoir area (km2)]]*1000000*Table1[[#This Row],[Eo (mm/year)]]/1000)/Table1[[#This Row],[Hydroelectricity (MW)]]/8760*Table1[[#This Row],[Water consumption allocation]]/Table1[[#This Row],[CF]]</f>
        <v>22.396488081042023</v>
      </c>
      <c r="O120" s="2">
        <v>32.725555555555559</v>
      </c>
      <c r="P120" s="2">
        <v>-7.9266666666666667</v>
      </c>
      <c r="Q120" s="12">
        <v>909</v>
      </c>
      <c r="R120" s="12">
        <v>17.399999999999999</v>
      </c>
      <c r="S120" s="12">
        <f t="shared" si="29"/>
        <v>10.200000000000001</v>
      </c>
      <c r="T120" s="12">
        <f t="shared" si="30"/>
        <v>13.500000000000002</v>
      </c>
      <c r="U120" s="12">
        <f>Table1[[#This Row],[Average temperature (°C)]]+0.006*Table1[[#This Row],[Average Country Elevation]]</f>
        <v>22.853999999999999</v>
      </c>
      <c r="V120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0" s="14">
        <f>(700*Table1[[#This Row],[Tm]]/(100-Table1[[#This Row],[Decimal degree latitude]])+15*Table1[[#This Row],[T-Td]])/(80-Table1[[#This Row],[Average temperature (°C)]])*365</f>
        <v>2065.1919535781908</v>
      </c>
    </row>
    <row r="121" spans="1:23" x14ac:dyDescent="0.25">
      <c r="A121" s="2" t="s">
        <v>31</v>
      </c>
      <c r="B121" s="2" t="s">
        <v>162</v>
      </c>
      <c r="C121" s="2" t="s">
        <v>214</v>
      </c>
      <c r="D121" s="2" t="s">
        <v>146</v>
      </c>
      <c r="E121" s="2">
        <v>1969</v>
      </c>
      <c r="F121" s="2">
        <v>100</v>
      </c>
      <c r="G121" s="2">
        <v>197</v>
      </c>
      <c r="H121" s="2">
        <v>4.25</v>
      </c>
      <c r="I121" s="2">
        <v>25</v>
      </c>
      <c r="J121" s="2">
        <v>0.24</v>
      </c>
      <c r="K121" s="2">
        <v>3</v>
      </c>
      <c r="L12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1" s="2">
        <f>1000000/1000/9.81/IF(Table1[[#This Row],[Dam height (m)]]="",10,Table1[[#This Row],[Dam height (m)]])*3600</f>
        <v>3669.7247706422017</v>
      </c>
      <c r="N121" s="3">
        <f>(Table1[[#This Row],[Reservoir area (km2)]]*1000000*Table1[[#This Row],[Eo (mm/year)]]/1000)/Table1[[#This Row],[Hydroelectricity (MW)]]/8760*Table1[[#This Row],[Water consumption allocation]]/Table1[[#This Row],[CF]]</f>
        <v>28.252534408395512</v>
      </c>
      <c r="O121" s="2">
        <v>31.645277777777778</v>
      </c>
      <c r="P121" s="2">
        <v>-7.2611111111111111</v>
      </c>
      <c r="Q121" s="12">
        <v>909</v>
      </c>
      <c r="R121" s="12">
        <v>17.399999999999999</v>
      </c>
      <c r="S121" s="12">
        <f t="shared" si="29"/>
        <v>10.200000000000001</v>
      </c>
      <c r="T121" s="12">
        <f t="shared" si="30"/>
        <v>13.500000000000002</v>
      </c>
      <c r="U121" s="12">
        <f>Table1[[#This Row],[Average temperature (°C)]]+0.006*Table1[[#This Row],[Average Country Elevation]]</f>
        <v>22.853999999999999</v>
      </c>
      <c r="V121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1" s="14">
        <f>(700*Table1[[#This Row],[Tm]]/(100-Table1[[#This Row],[Decimal degree latitude]])+15*Table1[[#This Row],[T-Td]])/(80-Table1[[#This Row],[Average temperature (°C)]])*365</f>
        <v>2043.2792686690993</v>
      </c>
    </row>
    <row r="122" spans="1:23" x14ac:dyDescent="0.25">
      <c r="A122" s="2" t="s">
        <v>31</v>
      </c>
      <c r="B122" s="2" t="s">
        <v>157</v>
      </c>
      <c r="C122" s="2" t="s">
        <v>158</v>
      </c>
      <c r="D122" s="2" t="s">
        <v>4</v>
      </c>
      <c r="E122" s="2">
        <v>1967</v>
      </c>
      <c r="F122" s="2">
        <v>64</v>
      </c>
      <c r="G122" s="2">
        <v>725</v>
      </c>
      <c r="H122" s="2">
        <v>27.27</v>
      </c>
      <c r="I122" s="2">
        <v>23</v>
      </c>
      <c r="J122" s="2">
        <v>0.24</v>
      </c>
      <c r="K122" s="2">
        <v>3</v>
      </c>
      <c r="L12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2" s="2">
        <f>1000000/1000/9.81/IF(Table1[[#This Row],[Dam height (m)]]="",10,Table1[[#This Row],[Dam height (m)]])*3600</f>
        <v>5733.9449541284403</v>
      </c>
      <c r="N122" s="3">
        <f>(Table1[[#This Row],[Reservoir area (km2)]]*1000000*Table1[[#This Row],[Eo (mm/year)]]/1000)/Table1[[#This Row],[Hydroelectricity (MW)]]/8760*Table1[[#This Row],[Water consumption allocation]]/Table1[[#This Row],[CF]]</f>
        <v>203.12339463659143</v>
      </c>
      <c r="O122" s="2">
        <v>34.663055555555552</v>
      </c>
      <c r="P122" s="2">
        <v>-2.9383333333333335</v>
      </c>
      <c r="Q122" s="12">
        <v>909</v>
      </c>
      <c r="R122" s="12">
        <v>17.399999999999999</v>
      </c>
      <c r="S122" s="12">
        <f t="shared" si="29"/>
        <v>10.200000000000001</v>
      </c>
      <c r="T122" s="12">
        <f t="shared" si="30"/>
        <v>13.500000000000002</v>
      </c>
      <c r="U122" s="12">
        <f>Table1[[#This Row],[Average temperature (°C)]]+0.006*Table1[[#This Row],[Average Country Elevation]]</f>
        <v>22.853999999999999</v>
      </c>
      <c r="V122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2" s="14">
        <f>(700*Table1[[#This Row],[Tm]]/(100-Table1[[#This Row],[Decimal degree latitude]])+15*Table1[[#This Row],[T-Td]])/(80-Table1[[#This Row],[Average temperature (°C)]])*365</f>
        <v>2106.3080205807005</v>
      </c>
    </row>
    <row r="123" spans="1:23" x14ac:dyDescent="0.25">
      <c r="A123" s="2" t="s">
        <v>31</v>
      </c>
      <c r="B123" s="2" t="s">
        <v>152</v>
      </c>
      <c r="C123" s="2" t="s">
        <v>211</v>
      </c>
      <c r="D123" s="2" t="s">
        <v>146</v>
      </c>
      <c r="E123" s="2"/>
      <c r="F123" s="2">
        <v>10</v>
      </c>
      <c r="G123" s="2"/>
      <c r="H123" s="2">
        <v>0.03</v>
      </c>
      <c r="I123" s="2">
        <v>26</v>
      </c>
      <c r="J123" s="2">
        <v>0.24</v>
      </c>
      <c r="K123" s="2">
        <v>1</v>
      </c>
      <c r="L12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23" s="2">
        <f>1000000/1000/9.81/IF(Table1[[#This Row],[Dam height (m)]]="",10,Table1[[#This Row],[Dam height (m)]])*3600</f>
        <v>36697.247706422015</v>
      </c>
      <c r="N123" s="3">
        <f>(Table1[[#This Row],[Reservoir area (km2)]]*1000000*Table1[[#This Row],[Eo (mm/year)]]/1000)/Table1[[#This Row],[Hydroelectricity (MW)]]/8760*Table1[[#This Row],[Water consumption allocation]]/Table1[[#This Row],[CF]]</f>
        <v>1.1373147392604921</v>
      </c>
      <c r="O123" s="2">
        <v>33.067644000000001</v>
      </c>
      <c r="P123" s="2">
        <v>-5.4661330000000001</v>
      </c>
      <c r="Q123" s="12">
        <v>909</v>
      </c>
      <c r="R123" s="12">
        <v>17.399999999999999</v>
      </c>
      <c r="S123" s="12">
        <f t="shared" si="29"/>
        <v>10.200000000000001</v>
      </c>
      <c r="T123" s="12">
        <f t="shared" si="30"/>
        <v>13.500000000000002</v>
      </c>
      <c r="U123" s="12">
        <f>Table1[[#This Row],[Average temperature (°C)]]+0.006*Table1[[#This Row],[Average Country Elevation]]</f>
        <v>22.853999999999999</v>
      </c>
      <c r="V123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3" s="14">
        <f>(700*Table1[[#This Row],[Tm]]/(100-Table1[[#This Row],[Decimal degree latitude]])+15*Table1[[#This Row],[T-Td]])/(80-Table1[[#This Row],[Average temperature (°C)]])*365</f>
        <v>2072.2784401117574</v>
      </c>
    </row>
    <row r="124" spans="1:23" x14ac:dyDescent="0.25">
      <c r="A124" s="2" t="s">
        <v>31</v>
      </c>
      <c r="B124" s="2" t="s">
        <v>160</v>
      </c>
      <c r="C124" s="2" t="s">
        <v>216</v>
      </c>
      <c r="D124" s="2" t="s">
        <v>146</v>
      </c>
      <c r="E124" s="2">
        <v>1929</v>
      </c>
      <c r="F124" s="2">
        <v>29</v>
      </c>
      <c r="G124" s="2">
        <v>2</v>
      </c>
      <c r="H124" s="2">
        <v>0.41</v>
      </c>
      <c r="I124" s="2">
        <v>20.8</v>
      </c>
      <c r="J124" s="2">
        <v>0.24</v>
      </c>
      <c r="K124" s="2">
        <v>3</v>
      </c>
      <c r="L12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4" s="2">
        <f>1000000/1000/9.81/IF(Table1[[#This Row],[Dam height (m)]]="",10,Table1[[#This Row],[Dam height (m)]])*3600</f>
        <v>12654.223347042074</v>
      </c>
      <c r="N124" s="3">
        <f>(Table1[[#This Row],[Reservoir area (km2)]]*1000000*Table1[[#This Row],[Eo (mm/year)]]/1000)/Table1[[#This Row],[Hydroelectricity (MW)]]/8760*Table1[[#This Row],[Water consumption allocation]]/Table1[[#This Row],[CF]]</f>
        <v>3.3252912838263424</v>
      </c>
      <c r="O124" s="2">
        <v>33.154722222222219</v>
      </c>
      <c r="P124" s="2">
        <v>-8.1150000000000002</v>
      </c>
      <c r="Q124" s="12">
        <v>909</v>
      </c>
      <c r="R124" s="12">
        <v>17.399999999999999</v>
      </c>
      <c r="S124" s="12">
        <f t="shared" si="29"/>
        <v>10.200000000000001</v>
      </c>
      <c r="T124" s="12">
        <f t="shared" si="30"/>
        <v>13.500000000000002</v>
      </c>
      <c r="U124" s="12">
        <f>Table1[[#This Row],[Average temperature (°C)]]+0.006*Table1[[#This Row],[Average Country Elevation]]</f>
        <v>22.853999999999999</v>
      </c>
      <c r="V124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4" s="14">
        <f>(700*Table1[[#This Row],[Tm]]/(100-Table1[[#This Row],[Decimal degree latitude]])+15*Table1[[#This Row],[T-Td]])/(80-Table1[[#This Row],[Average temperature (°C)]])*365</f>
        <v>2074.0938784541891</v>
      </c>
    </row>
    <row r="125" spans="1:23" x14ac:dyDescent="0.25">
      <c r="A125" s="2" t="s">
        <v>31</v>
      </c>
      <c r="B125" s="2" t="s">
        <v>159</v>
      </c>
      <c r="C125" s="2" t="s">
        <v>145</v>
      </c>
      <c r="D125" s="2" t="s">
        <v>146</v>
      </c>
      <c r="E125" s="2">
        <v>2007</v>
      </c>
      <c r="F125" s="2">
        <v>10</v>
      </c>
      <c r="G125" s="2"/>
      <c r="H125" s="2">
        <v>0.32</v>
      </c>
      <c r="I125" s="2">
        <v>18</v>
      </c>
      <c r="J125" s="2">
        <v>0.24</v>
      </c>
      <c r="K125" s="2">
        <v>1</v>
      </c>
      <c r="L12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25" s="2">
        <f>1000000/1000/9.81/IF(Table1[[#This Row],[Dam height (m)]]="",10,Table1[[#This Row],[Dam height (m)]])*3600</f>
        <v>36697.247706422015</v>
      </c>
      <c r="N125" s="3">
        <f>(Table1[[#This Row],[Reservoir area (km2)]]*1000000*Table1[[#This Row],[Eo (mm/year)]]/1000)/Table1[[#This Row],[Hydroelectricity (MW)]]/8760*Table1[[#This Row],[Water consumption allocation]]/Table1[[#This Row],[CF]]</f>
        <v>17.524950432552885</v>
      </c>
      <c r="O125" s="2">
        <v>33.078313999999999</v>
      </c>
      <c r="P125" s="2">
        <v>-5.5093360000000002</v>
      </c>
      <c r="Q125" s="12">
        <v>909</v>
      </c>
      <c r="R125" s="12">
        <v>17.399999999999999</v>
      </c>
      <c r="S125" s="12">
        <f t="shared" si="29"/>
        <v>10.200000000000001</v>
      </c>
      <c r="T125" s="12">
        <f t="shared" si="30"/>
        <v>13.500000000000002</v>
      </c>
      <c r="U125" s="12">
        <f>Table1[[#This Row],[Average temperature (°C)]]+0.006*Table1[[#This Row],[Average Country Elevation]]</f>
        <v>22.853999999999999</v>
      </c>
      <c r="V125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5" s="14">
        <f>(700*Table1[[#This Row],[Tm]]/(100-Table1[[#This Row],[Decimal degree latitude]])+15*Table1[[#This Row],[T-Td]])/(80-Table1[[#This Row],[Average temperature (°C)]])*365</f>
        <v>2072.5006381537046</v>
      </c>
    </row>
    <row r="126" spans="1:23" x14ac:dyDescent="0.25">
      <c r="A126" s="2" t="s">
        <v>31</v>
      </c>
      <c r="B126" s="2" t="s">
        <v>164</v>
      </c>
      <c r="C126" s="2" t="s">
        <v>145</v>
      </c>
      <c r="D126" s="2" t="s">
        <v>146</v>
      </c>
      <c r="E126" s="2">
        <v>1950</v>
      </c>
      <c r="F126" s="2">
        <v>40</v>
      </c>
      <c r="G126" s="2">
        <v>9.5</v>
      </c>
      <c r="H126" s="2">
        <v>1.56</v>
      </c>
      <c r="I126" s="2">
        <v>17</v>
      </c>
      <c r="J126" s="2">
        <v>0.24</v>
      </c>
      <c r="K126" s="2">
        <v>3</v>
      </c>
      <c r="L12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6" s="2">
        <f>1000000/1000/9.81/IF(Table1[[#This Row],[Dam height (m)]]="",10,Table1[[#This Row],[Dam height (m)]])*3600</f>
        <v>9174.3119266055037</v>
      </c>
      <c r="N126" s="3">
        <f>(Table1[[#This Row],[Reservoir area (km2)]]*1000000*Table1[[#This Row],[Eo (mm/year)]]/1000)/Table1[[#This Row],[Hydroelectricity (MW)]]/8760*Table1[[#This Row],[Water consumption allocation]]/Table1[[#This Row],[CF]]</f>
        <v>15.446501563655456</v>
      </c>
      <c r="O126" s="2">
        <v>32.935833333333328</v>
      </c>
      <c r="P126" s="2">
        <v>-8.0636111111111113</v>
      </c>
      <c r="Q126" s="12">
        <v>909</v>
      </c>
      <c r="R126" s="12">
        <v>17.399999999999999</v>
      </c>
      <c r="S126" s="12">
        <f t="shared" si="29"/>
        <v>10.200000000000001</v>
      </c>
      <c r="T126" s="12">
        <f t="shared" si="30"/>
        <v>13.500000000000002</v>
      </c>
      <c r="U126" s="12">
        <f>Table1[[#This Row],[Average temperature (°C)]]+0.006*Table1[[#This Row],[Average Country Elevation]]</f>
        <v>22.853999999999999</v>
      </c>
      <c r="V126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6" s="14">
        <f>(700*Table1[[#This Row],[Tm]]/(100-Table1[[#This Row],[Decimal degree latitude]])+15*Table1[[#This Row],[T-Td]])/(80-Table1[[#This Row],[Average temperature (°C)]])*365</f>
        <v>2069.5393727931355</v>
      </c>
    </row>
    <row r="127" spans="1:23" x14ac:dyDescent="0.25">
      <c r="A127" s="2" t="s">
        <v>31</v>
      </c>
      <c r="B127" s="2" t="s">
        <v>189</v>
      </c>
      <c r="C127" s="2" t="s">
        <v>218</v>
      </c>
      <c r="D127" s="2" t="s">
        <v>146</v>
      </c>
      <c r="E127" s="2">
        <v>1972</v>
      </c>
      <c r="F127" s="2">
        <v>70</v>
      </c>
      <c r="G127" s="2">
        <v>592</v>
      </c>
      <c r="H127" s="2">
        <v>4.76</v>
      </c>
      <c r="I127" s="2">
        <v>10.6</v>
      </c>
      <c r="J127" s="2">
        <v>0.24</v>
      </c>
      <c r="K127" s="2">
        <v>2</v>
      </c>
      <c r="L12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27" s="2">
        <f>1000000/1000/9.81/IF(Table1[[#This Row],[Dam height (m)]]="",10,Table1[[#This Row],[Dam height (m)]])*3600</f>
        <v>5242.463958060288</v>
      </c>
      <c r="N127" s="3">
        <f>(Table1[[#This Row],[Reservoir area (km2)]]*1000000*Table1[[#This Row],[Eo (mm/year)]]/1000)/Table1[[#This Row],[Hydroelectricity (MW)]]/8760*Table1[[#This Row],[Water consumption allocation]]/Table1[[#This Row],[CF]]</f>
        <v>192.40199223738094</v>
      </c>
      <c r="O127" s="2">
        <v>30.912607999999999</v>
      </c>
      <c r="P127" s="2">
        <v>-6.7599429999999998</v>
      </c>
      <c r="Q127" s="12">
        <v>909</v>
      </c>
      <c r="R127" s="12">
        <v>17.399999999999999</v>
      </c>
      <c r="S127" s="12">
        <f t="shared" si="29"/>
        <v>10.200000000000001</v>
      </c>
      <c r="T127" s="12">
        <f t="shared" si="30"/>
        <v>13.500000000000002</v>
      </c>
      <c r="U127" s="12">
        <f>Table1[[#This Row],[Average temperature (°C)]]+0.006*Table1[[#This Row],[Average Country Elevation]]</f>
        <v>22.853999999999999</v>
      </c>
      <c r="V127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7" s="14">
        <f>(700*Table1[[#This Row],[Tm]]/(100-Table1[[#This Row],[Decimal degree latitude]])+15*Table1[[#This Row],[T-Td]])/(80-Table1[[#This Row],[Average temperature (°C)]])*365</f>
        <v>2028.8075620252378</v>
      </c>
    </row>
    <row r="128" spans="1:23" x14ac:dyDescent="0.25">
      <c r="A128" s="2" t="s">
        <v>31</v>
      </c>
      <c r="B128" s="2" t="s">
        <v>156</v>
      </c>
      <c r="C128" s="2" t="s">
        <v>212</v>
      </c>
      <c r="D128" s="2" t="s">
        <v>146</v>
      </c>
      <c r="E128" s="2">
        <v>1935</v>
      </c>
      <c r="F128" s="2">
        <v>68</v>
      </c>
      <c r="G128" s="2">
        <v>297</v>
      </c>
      <c r="H128" s="2">
        <v>12.46</v>
      </c>
      <c r="I128" s="2">
        <v>14.4</v>
      </c>
      <c r="J128" s="2">
        <v>0.24</v>
      </c>
      <c r="K128" s="2">
        <v>3</v>
      </c>
      <c r="L12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28" s="2">
        <f>1000000/1000/9.81/IF(Table1[[#This Row],[Dam height (m)]]="",10,Table1[[#This Row],[Dam height (m)]])*3600</f>
        <v>5396.6540744738259</v>
      </c>
      <c r="N128" s="3">
        <f>(Table1[[#This Row],[Reservoir area (km2)]]*1000000*Table1[[#This Row],[Eo (mm/year)]]/1000)/Table1[[#This Row],[Hydroelectricity (MW)]]/8760*Table1[[#This Row],[Water consumption allocation]]/Table1[[#This Row],[CF]]</f>
        <v>147.29181235395274</v>
      </c>
      <c r="O128" s="2">
        <v>34.042222222222222</v>
      </c>
      <c r="P128" s="2">
        <v>-5.9066666666666672</v>
      </c>
      <c r="Q128" s="12">
        <v>909</v>
      </c>
      <c r="R128" s="12">
        <v>17.399999999999999</v>
      </c>
      <c r="S128" s="12">
        <f t="shared" si="29"/>
        <v>10.200000000000001</v>
      </c>
      <c r="T128" s="12">
        <f t="shared" si="30"/>
        <v>13.500000000000002</v>
      </c>
      <c r="U128" s="12">
        <f>Table1[[#This Row],[Average temperature (°C)]]+0.006*Table1[[#This Row],[Average Country Elevation]]</f>
        <v>22.853999999999999</v>
      </c>
      <c r="V128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8" s="14">
        <f>(700*Table1[[#This Row],[Tm]]/(100-Table1[[#This Row],[Decimal degree latitude]])+15*Table1[[#This Row],[T-Td]])/(80-Table1[[#This Row],[Average temperature (°C)]])*365</f>
        <v>2092.8701954410762</v>
      </c>
    </row>
    <row r="129" spans="1:23" x14ac:dyDescent="0.25">
      <c r="A129" s="2" t="s">
        <v>31</v>
      </c>
      <c r="B129" s="2" t="s">
        <v>367</v>
      </c>
      <c r="C129" s="2"/>
      <c r="D129" s="2"/>
      <c r="E129" s="2"/>
      <c r="F129" s="2"/>
      <c r="G129" s="2"/>
      <c r="H129" s="2"/>
      <c r="I129" s="2">
        <v>16.709999999999997</v>
      </c>
      <c r="J129" s="2">
        <v>0.24</v>
      </c>
      <c r="K129" s="2">
        <v>1</v>
      </c>
      <c r="L12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29" s="2">
        <f>1000000/1000/9.81/IF(Table1[[#This Row],[Dam height (m)]]="",10,Table1[[#This Row],[Dam height (m)]])*3600</f>
        <v>36697.247706422015</v>
      </c>
      <c r="N12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29" s="2">
        <v>31.405788999999999</v>
      </c>
      <c r="P129" s="2">
        <v>-5.9898730000000002</v>
      </c>
      <c r="Q129" s="12">
        <v>909</v>
      </c>
      <c r="R129" s="12">
        <v>17.399999999999999</v>
      </c>
      <c r="S129" s="12">
        <f t="shared" si="29"/>
        <v>10.200000000000001</v>
      </c>
      <c r="T129" s="12">
        <f t="shared" si="30"/>
        <v>13.500000000000002</v>
      </c>
      <c r="U129" s="12">
        <f>Table1[[#This Row],[Average temperature (°C)]]+0.006*Table1[[#This Row],[Average Country Elevation]]</f>
        <v>22.853999999999999</v>
      </c>
      <c r="V129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W129" s="14">
        <f>(700*Table1[[#This Row],[Tm]]/(100-Table1[[#This Row],[Decimal degree latitude]])+15*Table1[[#This Row],[T-Td]])/(80-Table1[[#This Row],[Average temperature (°C)]])*365</f>
        <v>2038.514871322519</v>
      </c>
    </row>
    <row r="130" spans="1:23" x14ac:dyDescent="0.25">
      <c r="A130" s="2" t="s">
        <v>244</v>
      </c>
      <c r="B130" s="2" t="s">
        <v>262</v>
      </c>
      <c r="C130" s="2" t="s">
        <v>264</v>
      </c>
      <c r="D130" s="2" t="s">
        <v>249</v>
      </c>
      <c r="E130" s="2">
        <v>1974</v>
      </c>
      <c r="F130" s="2">
        <v>171</v>
      </c>
      <c r="G130" s="2">
        <v>52000</v>
      </c>
      <c r="H130" s="2">
        <v>2047.5</v>
      </c>
      <c r="I130" s="2">
        <v>2075</v>
      </c>
      <c r="J130" s="2">
        <v>0.71</v>
      </c>
      <c r="K130" s="2">
        <v>3</v>
      </c>
      <c r="L13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0.59399999999999997</v>
      </c>
      <c r="M130" s="2">
        <f>1000000/1000/9.81/IF(Table1[[#This Row],[Dam height (m)]]="",10,Table1[[#This Row],[Dam height (m)]])*3600</f>
        <v>2146.037877568539</v>
      </c>
      <c r="N130" s="3">
        <f>(Table1[[#This Row],[Reservoir area (km2)]]*1000000*Table1[[#This Row],[Eo (mm/year)]]/1000)/Table1[[#This Row],[Hydroelectricity (MW)]]/8760*Table1[[#This Row],[Water consumption allocation]]/Table1[[#This Row],[CF]]</f>
        <v>149.61340586665042</v>
      </c>
      <c r="O130" s="2">
        <v>-15.586666666666668</v>
      </c>
      <c r="P130" s="2">
        <v>32.705555555555556</v>
      </c>
      <c r="Q130" s="12">
        <v>345</v>
      </c>
      <c r="R130" s="12">
        <v>23.6</v>
      </c>
      <c r="S130" s="12">
        <f>29-19</f>
        <v>10</v>
      </c>
      <c r="T130" s="12">
        <f>25.8-19.9</f>
        <v>5.9000000000000021</v>
      </c>
      <c r="U130" s="12">
        <f>Table1[[#This Row],[Average temperature (°C)]]+0.006*Table1[[#This Row],[Average Country Elevation]]</f>
        <v>25.67</v>
      </c>
      <c r="V130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0" s="14">
        <f>(700*Table1[[#This Row],[Tm]]/(100-Table1[[#This Row],[Decimal degree latitude]])+15*Table1[[#This Row],[T-Td]])/(80-Table1[[#This Row],[Average temperature (°C)]])*365</f>
        <v>1587.5986101890328</v>
      </c>
    </row>
    <row r="131" spans="1:23" x14ac:dyDescent="0.25">
      <c r="A131" s="2" t="s">
        <v>244</v>
      </c>
      <c r="B131" s="2" t="s">
        <v>253</v>
      </c>
      <c r="C131" s="2" t="s">
        <v>254</v>
      </c>
      <c r="D131" s="2" t="s">
        <v>255</v>
      </c>
      <c r="E131" s="2">
        <v>1953</v>
      </c>
      <c r="F131" s="2">
        <v>8</v>
      </c>
      <c r="G131" s="2">
        <v>1.2</v>
      </c>
      <c r="H131" s="2">
        <f>Table1[[#This Row],[Reservoir capacity (million m3)]]/Table1[[#This Row],[Dam height (m)]]*2</f>
        <v>0.3</v>
      </c>
      <c r="I131" s="2">
        <v>52</v>
      </c>
      <c r="J131" s="2">
        <v>0.71</v>
      </c>
      <c r="K131" s="2">
        <v>1</v>
      </c>
      <c r="L13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31" s="2">
        <f>1000000/1000/9.81/IF(Table1[[#This Row],[Dam height (m)]]="",10,Table1[[#This Row],[Dam height (m)]])*3600</f>
        <v>45871.559633027522</v>
      </c>
      <c r="N131" s="3">
        <f>(Table1[[#This Row],[Reservoir area (km2)]]*1000000*Table1[[#This Row],[Eo (mm/year)]]/1000)/Table1[[#This Row],[Hydroelectricity (MW)]]/8760*Table1[[#This Row],[Water consumption allocation]]/Table1[[#This Row],[CF]]</f>
        <v>1.4418805906537282</v>
      </c>
      <c r="O131" s="5">
        <v>-19.52611111111111</v>
      </c>
      <c r="P131" s="5">
        <v>33.492777777777782</v>
      </c>
      <c r="Q131" s="12">
        <v>345</v>
      </c>
      <c r="R131" s="12">
        <v>23.6</v>
      </c>
      <c r="S131" s="12">
        <f t="shared" ref="S131:S135" si="31">29-19</f>
        <v>10</v>
      </c>
      <c r="T131" s="12">
        <f t="shared" ref="T131:T135" si="32">25.8-19.9</f>
        <v>5.9000000000000021</v>
      </c>
      <c r="U131" s="12">
        <f>Table1[[#This Row],[Average temperature (°C)]]+0.006*Table1[[#This Row],[Average Country Elevation]]</f>
        <v>25.67</v>
      </c>
      <c r="V131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1" s="14">
        <f>(700*Table1[[#This Row],[Tm]]/(100-Table1[[#This Row],[Decimal degree latitude]])+15*Table1[[#This Row],[T-Td]])/(80-Table1[[#This Row],[Average temperature (°C)]])*365</f>
        <v>1554.4395570825207</v>
      </c>
    </row>
    <row r="132" spans="1:23" x14ac:dyDescent="0.25">
      <c r="A132" s="2" t="s">
        <v>244</v>
      </c>
      <c r="B132" s="2" t="s">
        <v>256</v>
      </c>
      <c r="C132" s="2" t="s">
        <v>257</v>
      </c>
      <c r="D132" s="2" t="s">
        <v>255</v>
      </c>
      <c r="E132" s="2">
        <v>1959</v>
      </c>
      <c r="F132" s="2">
        <v>75</v>
      </c>
      <c r="G132" s="2">
        <v>1536</v>
      </c>
      <c r="H132" s="2">
        <v>120</v>
      </c>
      <c r="I132" s="2">
        <v>46</v>
      </c>
      <c r="J132" s="2">
        <v>0.71</v>
      </c>
      <c r="K132" s="2">
        <v>2</v>
      </c>
      <c r="L13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32" s="2">
        <f>1000000/1000/9.81/IF(Table1[[#This Row],[Dam height (m)]]="",10,Table1[[#This Row],[Dam height (m)]])*3600</f>
        <v>4892.9663608562687</v>
      </c>
      <c r="N132" s="3">
        <f>(Table1[[#This Row],[Reservoir area (km2)]]*1000000*Table1[[#This Row],[Eo (mm/year)]]/1000)/Table1[[#This Row],[Hydroelectricity (MW)]]/8760*Table1[[#This Row],[Water consumption allocation]]/Table1[[#This Row],[CF]]</f>
        <v>290.03444997539503</v>
      </c>
      <c r="O132" s="2">
        <v>-19.161111111111111</v>
      </c>
      <c r="P132" s="2">
        <v>33.133333333333333</v>
      </c>
      <c r="Q132" s="12">
        <v>345</v>
      </c>
      <c r="R132" s="12">
        <v>23.6</v>
      </c>
      <c r="S132" s="12">
        <f t="shared" si="31"/>
        <v>10</v>
      </c>
      <c r="T132" s="12">
        <f t="shared" si="32"/>
        <v>5.9000000000000021</v>
      </c>
      <c r="U132" s="12">
        <f>Table1[[#This Row],[Average temperature (°C)]]+0.006*Table1[[#This Row],[Average Country Elevation]]</f>
        <v>25.67</v>
      </c>
      <c r="V132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2" s="14">
        <f>(700*Table1[[#This Row],[Tm]]/(100-Table1[[#This Row],[Decimal degree latitude]])+15*Table1[[#This Row],[T-Td]])/(80-Table1[[#This Row],[Average temperature (°C)]])*365</f>
        <v>1557.4196732935527</v>
      </c>
    </row>
    <row r="133" spans="1:23" x14ac:dyDescent="0.25">
      <c r="A133" s="2" t="s">
        <v>244</v>
      </c>
      <c r="B133" s="2" t="s">
        <v>258</v>
      </c>
      <c r="C133" s="2" t="s">
        <v>259</v>
      </c>
      <c r="D133" s="2" t="s">
        <v>255</v>
      </c>
      <c r="E133" s="2">
        <v>1988</v>
      </c>
      <c r="F133" s="2">
        <v>46</v>
      </c>
      <c r="G133" s="2">
        <v>1273</v>
      </c>
      <c r="H133" s="2">
        <v>68</v>
      </c>
      <c r="I133" s="2">
        <v>16.600000000000001</v>
      </c>
      <c r="J133" s="2">
        <v>0.71</v>
      </c>
      <c r="K133" s="2">
        <v>3</v>
      </c>
      <c r="L13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33" s="2">
        <f>1000000/1000/9.81/IF(Table1[[#This Row],[Dam height (m)]]="",10,Table1[[#This Row],[Dam height (m)]])*3600</f>
        <v>7977.6625448743507</v>
      </c>
      <c r="N133" s="3">
        <f>(Table1[[#This Row],[Reservoir area (km2)]]*1000000*Table1[[#This Row],[Eo (mm/year)]]/1000)/Table1[[#This Row],[Hydroelectricity (MW)]]/8760*Table1[[#This Row],[Water consumption allocation]]/Table1[[#This Row],[CF]]</f>
        <v>170.08592307107622</v>
      </c>
      <c r="O133" s="2">
        <v>-25.220277777777778</v>
      </c>
      <c r="P133" s="2">
        <v>32.13388888888889</v>
      </c>
      <c r="Q133" s="12">
        <v>345</v>
      </c>
      <c r="R133" s="12">
        <v>23.6</v>
      </c>
      <c r="S133" s="12">
        <f t="shared" si="31"/>
        <v>10</v>
      </c>
      <c r="T133" s="12">
        <f t="shared" si="32"/>
        <v>5.9000000000000021</v>
      </c>
      <c r="U133" s="12">
        <f>Table1[[#This Row],[Average temperature (°C)]]+0.006*Table1[[#This Row],[Average Country Elevation]]</f>
        <v>25.67</v>
      </c>
      <c r="V133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3" s="14">
        <f>(700*Table1[[#This Row],[Tm]]/(100-Table1[[#This Row],[Decimal degree latitude]])+15*Table1[[#This Row],[T-Td]])/(80-Table1[[#This Row],[Average temperature (°C)]])*365</f>
        <v>1510.198001238869</v>
      </c>
    </row>
    <row r="134" spans="1:23" x14ac:dyDescent="0.25">
      <c r="A134" s="2" t="s">
        <v>244</v>
      </c>
      <c r="B134" s="2" t="s">
        <v>261</v>
      </c>
      <c r="C134" s="2" t="s">
        <v>263</v>
      </c>
      <c r="D134" s="2" t="s">
        <v>94</v>
      </c>
      <c r="E134" s="2">
        <v>1971</v>
      </c>
      <c r="F134" s="2">
        <v>17</v>
      </c>
      <c r="G134" s="2">
        <v>4.4000000000000004</v>
      </c>
      <c r="H134" s="2">
        <f>Table1[[#This Row],[Reservoir capacity (million m3)]]/Table1[[#This Row],[Dam height (m)]]*2</f>
        <v>0.51764705882352946</v>
      </c>
      <c r="I134" s="2">
        <v>16</v>
      </c>
      <c r="J134" s="2">
        <v>0.71</v>
      </c>
      <c r="K134" s="2">
        <v>3</v>
      </c>
      <c r="L13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34" s="2">
        <f>1000000/1000/9.81/IF(Table1[[#This Row],[Dam height (m)]]="",10,Table1[[#This Row],[Dam height (m)]])*3600</f>
        <v>21586.616297895303</v>
      </c>
      <c r="N134" s="3">
        <f>(Table1[[#This Row],[Reservoir area (km2)]]*1000000*Table1[[#This Row],[Eo (mm/year)]]/1000)/Table1[[#This Row],[Hydroelectricity (MW)]]/8760*Table1[[#This Row],[Water consumption allocation]]/Table1[[#This Row],[CF]]</f>
        <v>1.4189147776048621</v>
      </c>
      <c r="O134" s="2">
        <v>-14.7225</v>
      </c>
      <c r="P134" s="2">
        <v>40.530277777777776</v>
      </c>
      <c r="Q134" s="12">
        <v>345</v>
      </c>
      <c r="R134" s="12">
        <v>23.6</v>
      </c>
      <c r="S134" s="12">
        <f t="shared" si="31"/>
        <v>10</v>
      </c>
      <c r="T134" s="12">
        <f t="shared" si="32"/>
        <v>5.9000000000000021</v>
      </c>
      <c r="U134" s="12">
        <f>Table1[[#This Row],[Average temperature (°C)]]+0.006*Table1[[#This Row],[Average Country Elevation]]</f>
        <v>25.67</v>
      </c>
      <c r="V134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4" s="14">
        <f>(700*Table1[[#This Row],[Tm]]/(100-Table1[[#This Row],[Decimal degree latitude]])+15*Table1[[#This Row],[T-Td]])/(80-Table1[[#This Row],[Average temperature (°C)]])*365</f>
        <v>1595.1770331042039</v>
      </c>
    </row>
    <row r="135" spans="1:23" x14ac:dyDescent="0.25">
      <c r="A135" s="2" t="s">
        <v>244</v>
      </c>
      <c r="B135" s="2" t="s">
        <v>260</v>
      </c>
      <c r="C135" s="2"/>
      <c r="D135" s="2"/>
      <c r="E135" s="2"/>
      <c r="F135" s="2"/>
      <c r="G135" s="2"/>
      <c r="H135" s="2"/>
      <c r="I135" s="2">
        <v>1.51</v>
      </c>
      <c r="J135" s="2">
        <v>0.71</v>
      </c>
      <c r="K135" s="2">
        <v>1</v>
      </c>
      <c r="L13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35" s="2">
        <f>1000000/1000/9.81/IF(Table1[[#This Row],[Dam height (m)]]="",10,Table1[[#This Row],[Dam height (m)]])*3600</f>
        <v>36697.247706422015</v>
      </c>
      <c r="N13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35" s="2">
        <v>-14.82525</v>
      </c>
      <c r="P135" s="2">
        <v>36.538919999999997</v>
      </c>
      <c r="Q135" s="12">
        <v>345</v>
      </c>
      <c r="R135" s="12">
        <v>23.6</v>
      </c>
      <c r="S135" s="12">
        <f t="shared" si="31"/>
        <v>10</v>
      </c>
      <c r="T135" s="12">
        <f t="shared" si="32"/>
        <v>5.9000000000000021</v>
      </c>
      <c r="U135" s="12">
        <f>Table1[[#This Row],[Average temperature (°C)]]+0.006*Table1[[#This Row],[Average Country Elevation]]</f>
        <v>25.67</v>
      </c>
      <c r="V135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W135" s="14">
        <f>(700*Table1[[#This Row],[Tm]]/(100-Table1[[#This Row],[Decimal degree latitude]])+15*Table1[[#This Row],[T-Td]])/(80-Table1[[#This Row],[Average temperature (°C)]])*365</f>
        <v>1594.2699783632636</v>
      </c>
    </row>
    <row r="136" spans="1:23" x14ac:dyDescent="0.25">
      <c r="A136" s="2" t="s">
        <v>243</v>
      </c>
      <c r="B136" s="2" t="s">
        <v>265</v>
      </c>
      <c r="C136" s="6" t="s">
        <v>173</v>
      </c>
      <c r="D136" s="6" t="s">
        <v>34</v>
      </c>
      <c r="E136" s="2">
        <v>2012</v>
      </c>
      <c r="F136" s="2">
        <v>134</v>
      </c>
      <c r="G136" s="2">
        <v>2600</v>
      </c>
      <c r="H136" s="2">
        <f>Table1[[#This Row],[Reservoir capacity (million m3)]]/Table1[[#This Row],[Dam height (m)]]*2</f>
        <v>38.805970149253731</v>
      </c>
      <c r="I136" s="2">
        <v>353</v>
      </c>
      <c r="J136" s="2">
        <v>0.48</v>
      </c>
      <c r="K136" s="2">
        <v>1</v>
      </c>
      <c r="L13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36" s="2">
        <f>1000000/1000/9.81/IF(Table1[[#This Row],[Dam height (m)]]="",10,Table1[[#This Row],[Dam height (m)]])*3600</f>
        <v>2738.6005751061207</v>
      </c>
      <c r="N136" s="3">
        <f>(Table1[[#This Row],[Reservoir area (km2)]]*1000000*Table1[[#This Row],[Eo (mm/year)]]/1000)/Table1[[#This Row],[Hydroelectricity (MW)]]/8760*Table1[[#This Row],[Water consumption allocation]]/Table1[[#This Row],[CF]]</f>
        <v>45.943323786893998</v>
      </c>
      <c r="O136" s="2">
        <v>-17.383299999999998</v>
      </c>
      <c r="P136" s="2">
        <v>14.216699999999999</v>
      </c>
      <c r="Q136" s="12">
        <v>1141</v>
      </c>
      <c r="R136" s="12">
        <v>20.100000000000001</v>
      </c>
      <c r="S136" s="12">
        <f>25.5-13.6</f>
        <v>11.9</v>
      </c>
      <c r="T136" s="12">
        <f>23.3-14.6</f>
        <v>8.7000000000000011</v>
      </c>
      <c r="U136" s="12">
        <f>Table1[[#This Row],[Average temperature (°C)]]+0.006*Table1[[#This Row],[Average Country Elevation]]</f>
        <v>26.946000000000002</v>
      </c>
      <c r="V136" s="12">
        <f>0.0023*Table1[[#This Row],[Average Country Elevation]]+0.37*Table1[[#This Row],[Average temperature (°C)]]+0.53*Table1[[#This Row],[Average Range]]+0.35*Table1[[#This Row],[Average range hot-cold]]-10.9</f>
        <v>8.5132999999999992</v>
      </c>
      <c r="W136" s="14">
        <f>(700*Table1[[#This Row],[Tm]]/(100-Table1[[#This Row],[Decimal degree latitude]])+15*Table1[[#This Row],[T-Td]])/(80-Table1[[#This Row],[Average temperature (°C)]])*365</f>
        <v>1757.2919309062795</v>
      </c>
    </row>
    <row r="137" spans="1:23" x14ac:dyDescent="0.25">
      <c r="A137" s="2" t="s">
        <v>237</v>
      </c>
      <c r="B137" s="2" t="s">
        <v>333</v>
      </c>
      <c r="C137" s="2" t="s">
        <v>236</v>
      </c>
      <c r="D137" s="2" t="s">
        <v>331</v>
      </c>
      <c r="E137" s="2">
        <v>1968</v>
      </c>
      <c r="F137" s="2">
        <v>79</v>
      </c>
      <c r="G137" s="2">
        <v>15000</v>
      </c>
      <c r="H137" s="2">
        <v>1.25</v>
      </c>
      <c r="I137" s="2">
        <v>760</v>
      </c>
      <c r="J137" s="2">
        <v>0.4</v>
      </c>
      <c r="K137" s="2">
        <v>1</v>
      </c>
      <c r="L13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37" s="2">
        <f>1000000/1000/9.81/IF(Table1[[#This Row],[Dam height (m)]]="",10,Table1[[#This Row],[Dam height (m)]])*3600</f>
        <v>4645.2212286610147</v>
      </c>
      <c r="N137" s="3">
        <f>(Table1[[#This Row],[Reservoir area (km2)]]*1000000*Table1[[#This Row],[Eo (mm/year)]]/1000)/Table1[[#This Row],[Hydroelectricity (MW)]]/8760*Table1[[#This Row],[Water consumption allocation]]/Table1[[#This Row],[CF]]</f>
        <v>1.0281937342318903</v>
      </c>
      <c r="O137" s="2">
        <v>9.8630555555555546</v>
      </c>
      <c r="P137" s="2">
        <v>4.6108333333333329</v>
      </c>
      <c r="Q137" s="12">
        <v>380</v>
      </c>
      <c r="R137" s="12">
        <v>26.7</v>
      </c>
      <c r="S137" s="12">
        <f>31-21.9</f>
        <v>9.1000000000000014</v>
      </c>
      <c r="T137" s="12">
        <f>29.5-24.8</f>
        <v>4.6999999999999993</v>
      </c>
      <c r="U137" s="12">
        <f>Table1[[#This Row],[Average temperature (°C)]]+0.006*Table1[[#This Row],[Average Country Elevation]]</f>
        <v>28.98</v>
      </c>
      <c r="V137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37" s="14">
        <f>(700*Table1[[#This Row],[Tm]]/(100-Table1[[#This Row],[Decimal degree latitude]])+15*Table1[[#This Row],[T-Td]])/(80-Table1[[#This Row],[Average temperature (°C)]])*365</f>
        <v>2190.4968336071147</v>
      </c>
    </row>
    <row r="138" spans="1:23" x14ac:dyDescent="0.25">
      <c r="A138" s="2" t="s">
        <v>237</v>
      </c>
      <c r="B138" s="2" t="s">
        <v>335</v>
      </c>
      <c r="C138" s="2" t="s">
        <v>336</v>
      </c>
      <c r="D138" s="2" t="s">
        <v>331</v>
      </c>
      <c r="E138" s="2">
        <v>1984</v>
      </c>
      <c r="F138" s="2">
        <v>125</v>
      </c>
      <c r="G138" s="2">
        <v>7</v>
      </c>
      <c r="H138" s="2">
        <v>312</v>
      </c>
      <c r="I138" s="2">
        <v>600</v>
      </c>
      <c r="J138" s="2">
        <v>0.4</v>
      </c>
      <c r="K138" s="2">
        <v>1</v>
      </c>
      <c r="L13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38" s="2">
        <f>1000000/1000/9.81/IF(Table1[[#This Row],[Dam height (m)]]="",10,Table1[[#This Row],[Dam height (m)]])*3600</f>
        <v>2935.7798165137615</v>
      </c>
      <c r="N138" s="3">
        <f>(Table1[[#This Row],[Reservoir area (km2)]]*1000000*Table1[[#This Row],[Eo (mm/year)]]/1000)/Table1[[#This Row],[Hydroelectricity (MW)]]/8760*Table1[[#This Row],[Water consumption allocation]]/Table1[[#This Row],[CF]]</f>
        <v>325.35389694832963</v>
      </c>
      <c r="O138" s="2">
        <v>9.9733333333333327</v>
      </c>
      <c r="P138" s="2">
        <v>6.8347222222222221</v>
      </c>
      <c r="Q138" s="12">
        <v>380</v>
      </c>
      <c r="R138" s="12">
        <v>26.7</v>
      </c>
      <c r="S138" s="12">
        <f t="shared" ref="S138:S142" si="33">31-21.9</f>
        <v>9.1000000000000014</v>
      </c>
      <c r="T138" s="12">
        <f t="shared" ref="T138:T142" si="34">29.5-24.8</f>
        <v>4.6999999999999993</v>
      </c>
      <c r="U138" s="12">
        <f>Table1[[#This Row],[Average temperature (°C)]]+0.006*Table1[[#This Row],[Average Country Elevation]]</f>
        <v>28.98</v>
      </c>
      <c r="V138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38" s="14">
        <f>(700*Table1[[#This Row],[Tm]]/(100-Table1[[#This Row],[Decimal degree latitude]])+15*Table1[[#This Row],[T-Td]])/(80-Table1[[#This Row],[Average temperature (°C)]])*365</f>
        <v>2192.3847209748983</v>
      </c>
    </row>
    <row r="139" spans="1:23" x14ac:dyDescent="0.25">
      <c r="A139" s="2" t="s">
        <v>237</v>
      </c>
      <c r="B139" s="2" t="s">
        <v>334</v>
      </c>
      <c r="C139" s="2" t="s">
        <v>236</v>
      </c>
      <c r="D139" s="2" t="s">
        <v>331</v>
      </c>
      <c r="E139" s="2">
        <v>1984</v>
      </c>
      <c r="F139" s="2">
        <v>40</v>
      </c>
      <c r="G139" s="2">
        <v>3600</v>
      </c>
      <c r="H139" s="2">
        <v>360</v>
      </c>
      <c r="I139" s="2">
        <v>578.4</v>
      </c>
      <c r="J139" s="2">
        <v>0.4</v>
      </c>
      <c r="K139" s="2">
        <v>2</v>
      </c>
      <c r="L13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M139" s="2">
        <f>1000000/1000/9.81/IF(Table1[[#This Row],[Dam height (m)]]="",10,Table1[[#This Row],[Dam height (m)]])*3600</f>
        <v>9174.3119266055037</v>
      </c>
      <c r="N139" s="3">
        <f>(Table1[[#This Row],[Reservoir area (km2)]]*1000000*Table1[[#This Row],[Eo (mm/year)]]/1000)/Table1[[#This Row],[Hydroelectricity (MW)]]/8760*Table1[[#This Row],[Water consumption allocation]]/Table1[[#This Row],[CF]]</f>
        <v>376.45747897574199</v>
      </c>
      <c r="O139" s="2">
        <v>9.1366666666666667</v>
      </c>
      <c r="P139" s="2">
        <v>4.7883333333333331</v>
      </c>
      <c r="Q139" s="12">
        <v>380</v>
      </c>
      <c r="R139" s="12">
        <v>26.7</v>
      </c>
      <c r="S139" s="12">
        <f t="shared" si="33"/>
        <v>9.1000000000000014</v>
      </c>
      <c r="T139" s="12">
        <f t="shared" si="34"/>
        <v>4.6999999999999993</v>
      </c>
      <c r="U139" s="12">
        <f>Table1[[#This Row],[Average temperature (°C)]]+0.006*Table1[[#This Row],[Average Country Elevation]]</f>
        <v>28.98</v>
      </c>
      <c r="V139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39" s="14">
        <f>(700*Table1[[#This Row],[Tm]]/(100-Table1[[#This Row],[Decimal degree latitude]])+15*Table1[[#This Row],[T-Td]])/(80-Table1[[#This Row],[Average temperature (°C)]])*365</f>
        <v>2178.1760090837338</v>
      </c>
    </row>
    <row r="140" spans="1:23" x14ac:dyDescent="0.25">
      <c r="A140" s="2" t="s">
        <v>237</v>
      </c>
      <c r="B140" s="2" t="s">
        <v>337</v>
      </c>
      <c r="C140" s="2"/>
      <c r="D140" s="2"/>
      <c r="E140" s="2">
        <v>2012</v>
      </c>
      <c r="F140" s="2">
        <v>15</v>
      </c>
      <c r="G140" s="2">
        <v>15.91</v>
      </c>
      <c r="H140" s="2">
        <v>7.6079999999999997</v>
      </c>
      <c r="I140" s="2">
        <v>100</v>
      </c>
      <c r="J140" s="2">
        <v>0.4</v>
      </c>
      <c r="K140" s="2">
        <v>1</v>
      </c>
      <c r="L14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0" s="2">
        <f>1000000/1000/9.81/IF(Table1[[#This Row],[Dam height (m)]]="",10,Table1[[#This Row],[Dam height (m)]])*3600</f>
        <v>24464.831804281344</v>
      </c>
      <c r="N140" s="3">
        <f>(Table1[[#This Row],[Reservoir area (km2)]]*1000000*Table1[[#This Row],[Eo (mm/year)]]/1000)/Table1[[#This Row],[Hydroelectricity (MW)]]/8760*Table1[[#This Row],[Water consumption allocation]]/Table1[[#This Row],[CF]]</f>
        <v>48.039327225364751</v>
      </c>
      <c r="O140" s="2">
        <v>11.133888888888889</v>
      </c>
      <c r="P140" s="2">
        <v>7.7594444444444441</v>
      </c>
      <c r="Q140" s="12">
        <v>380</v>
      </c>
      <c r="R140" s="12">
        <v>26.7</v>
      </c>
      <c r="S140" s="12">
        <f t="shared" si="33"/>
        <v>9.1000000000000014</v>
      </c>
      <c r="T140" s="12">
        <f t="shared" si="34"/>
        <v>4.6999999999999993</v>
      </c>
      <c r="U140" s="12">
        <f>Table1[[#This Row],[Average temperature (°C)]]+0.006*Table1[[#This Row],[Average Country Elevation]]</f>
        <v>28.98</v>
      </c>
      <c r="V140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40" s="14">
        <f>(700*Table1[[#This Row],[Tm]]/(100-Table1[[#This Row],[Decimal degree latitude]])+15*Table1[[#This Row],[T-Td]])/(80-Table1[[#This Row],[Average temperature (°C)]])*365</f>
        <v>2212.5368375089129</v>
      </c>
    </row>
    <row r="141" spans="1:23" x14ac:dyDescent="0.25">
      <c r="A141" s="2" t="s">
        <v>237</v>
      </c>
      <c r="B141" s="2" t="s">
        <v>372</v>
      </c>
      <c r="C141" s="2"/>
      <c r="D141" s="2"/>
      <c r="E141" s="2"/>
      <c r="F141" s="2"/>
      <c r="G141" s="2"/>
      <c r="H141" s="2"/>
      <c r="I141" s="2">
        <v>14.61</v>
      </c>
      <c r="J141" s="2">
        <v>0.4</v>
      </c>
      <c r="K141" s="2">
        <v>1</v>
      </c>
      <c r="L14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1" s="2">
        <f>1000000/1000/9.81/IF(Table1[[#This Row],[Dam height (m)]]="",10,Table1[[#This Row],[Dam height (m)]])*3600</f>
        <v>36697.247706422015</v>
      </c>
      <c r="N14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41" s="2">
        <v>9.372261</v>
      </c>
      <c r="P141" s="2">
        <v>8.8107349999999993</v>
      </c>
      <c r="Q141" s="12">
        <v>380</v>
      </c>
      <c r="R141" s="12">
        <v>26.7</v>
      </c>
      <c r="S141" s="12">
        <f t="shared" si="33"/>
        <v>9.1000000000000014</v>
      </c>
      <c r="T141" s="12">
        <f t="shared" si="34"/>
        <v>4.6999999999999993</v>
      </c>
      <c r="U141" s="12">
        <f>Table1[[#This Row],[Average temperature (°C)]]+0.006*Table1[[#This Row],[Average Country Elevation]]</f>
        <v>28.98</v>
      </c>
      <c r="V141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41" s="14">
        <f>(700*Table1[[#This Row],[Tm]]/(100-Table1[[#This Row],[Decimal degree latitude]])+15*Table1[[#This Row],[T-Td]])/(80-Table1[[#This Row],[Average temperature (°C)]])*365</f>
        <v>2182.1504597146059</v>
      </c>
    </row>
    <row r="142" spans="1:23" x14ac:dyDescent="0.25">
      <c r="A142" s="2" t="s">
        <v>237</v>
      </c>
      <c r="B142" s="2" t="s">
        <v>371</v>
      </c>
      <c r="C142" s="2" t="s">
        <v>370</v>
      </c>
      <c r="D142" s="2" t="s">
        <v>331</v>
      </c>
      <c r="E142" s="2">
        <v>1929</v>
      </c>
      <c r="F142" s="2">
        <v>19</v>
      </c>
      <c r="G142" s="2">
        <v>17</v>
      </c>
      <c r="H142" s="2">
        <v>4.8</v>
      </c>
      <c r="I142" s="2">
        <v>5.33</v>
      </c>
      <c r="J142" s="2">
        <v>0.4</v>
      </c>
      <c r="K142" s="2">
        <v>1</v>
      </c>
      <c r="L14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2" s="2">
        <f>1000000/1000/9.81/IF(Table1[[#This Row],[Dam height (m)]]="",10,Table1[[#This Row],[Dam height (m)]])*3600</f>
        <v>19314.34089811685</v>
      </c>
      <c r="N142" s="3">
        <f>(Table1[[#This Row],[Reservoir area (km2)]]*1000000*Table1[[#This Row],[Eo (mm/year)]]/1000)/Table1[[#This Row],[Hydroelectricity (MW)]]/8760*Table1[[#This Row],[Water consumption allocation]]/Table1[[#This Row],[CF]]</f>
        <v>560.96032791839468</v>
      </c>
      <c r="O142" s="2">
        <v>9.4012270000000004</v>
      </c>
      <c r="P142" s="2">
        <v>8.7329129999999999</v>
      </c>
      <c r="Q142" s="12">
        <v>380</v>
      </c>
      <c r="R142" s="12">
        <v>26.7</v>
      </c>
      <c r="S142" s="12">
        <f t="shared" si="33"/>
        <v>9.1000000000000014</v>
      </c>
      <c r="T142" s="12">
        <f t="shared" si="34"/>
        <v>4.6999999999999993</v>
      </c>
      <c r="U142" s="12">
        <f>Table1[[#This Row],[Average temperature (°C)]]+0.006*Table1[[#This Row],[Average Country Elevation]]</f>
        <v>28.98</v>
      </c>
      <c r="V142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W142" s="14">
        <f>(700*Table1[[#This Row],[Tm]]/(100-Table1[[#This Row],[Decimal degree latitude]])+15*Table1[[#This Row],[T-Td]])/(80-Table1[[#This Row],[Average temperature (°C)]])*365</f>
        <v>2182.6405398976822</v>
      </c>
    </row>
    <row r="143" spans="1:23" x14ac:dyDescent="0.25">
      <c r="A143" s="2" t="s">
        <v>27</v>
      </c>
      <c r="B143" s="2" t="s">
        <v>179</v>
      </c>
      <c r="C143" s="2" t="s">
        <v>107</v>
      </c>
      <c r="D143" s="2" t="s">
        <v>94</v>
      </c>
      <c r="E143" s="2">
        <v>1989</v>
      </c>
      <c r="F143" s="2">
        <v>11</v>
      </c>
      <c r="G143" s="2"/>
      <c r="H143" s="2">
        <v>0.26</v>
      </c>
      <c r="I143" s="2">
        <v>48</v>
      </c>
      <c r="J143" s="2">
        <v>0.4</v>
      </c>
      <c r="K143" s="2">
        <v>1</v>
      </c>
      <c r="L14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3" s="2">
        <f>1000000/1000/9.81/IF(Table1[[#This Row],[Dam height (m)]]="",10,Table1[[#This Row],[Dam height (m)]])*3600</f>
        <v>33361.134278565471</v>
      </c>
      <c r="N143" s="3">
        <f>(Table1[[#This Row],[Reservoir area (km2)]]*1000000*Table1[[#This Row],[Eo (mm/year)]]/1000)/Table1[[#This Row],[Hydroelectricity (MW)]]/8760*Table1[[#This Row],[Water consumption allocation]]/Table1[[#This Row],[CF]]</f>
        <v>2.5482409089526783</v>
      </c>
      <c r="O143" s="2">
        <v>-2.6334399999999998</v>
      </c>
      <c r="P143" s="2">
        <v>28.902660000000001</v>
      </c>
      <c r="Q143" s="12">
        <v>1598</v>
      </c>
      <c r="R143" s="12">
        <v>19</v>
      </c>
      <c r="S143" s="12">
        <f>24.7-14.8</f>
        <v>9.8999999999999986</v>
      </c>
      <c r="T143" s="12">
        <f>19.5-18.6</f>
        <v>0.89999999999999858</v>
      </c>
      <c r="U143" s="12">
        <f>Table1[[#This Row],[Average temperature (°C)]]+0.006*Table1[[#This Row],[Average Country Elevation]]</f>
        <v>28.588000000000001</v>
      </c>
      <c r="V143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3" s="14">
        <f>(700*Table1[[#This Row],[Tm]]/(100-Table1[[#This Row],[Decimal degree latitude]])+15*Table1[[#This Row],[T-Td]])/(80-Table1[[#This Row],[Average temperature (°C)]])*365</f>
        <v>1648.4374421483419</v>
      </c>
    </row>
    <row r="144" spans="1:23" x14ac:dyDescent="0.25">
      <c r="A144" s="2" t="s">
        <v>27</v>
      </c>
      <c r="B144" s="2" t="s">
        <v>178</v>
      </c>
      <c r="C144" s="2" t="s">
        <v>107</v>
      </c>
      <c r="D144" s="2" t="s">
        <v>94</v>
      </c>
      <c r="E144" s="2">
        <v>1958</v>
      </c>
      <c r="F144" s="2">
        <v>15</v>
      </c>
      <c r="G144" s="2"/>
      <c r="H144" s="2">
        <v>0.26</v>
      </c>
      <c r="I144" s="2">
        <v>30</v>
      </c>
      <c r="J144" s="2">
        <v>0.4</v>
      </c>
      <c r="K144" s="2">
        <v>1</v>
      </c>
      <c r="L14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4" s="2">
        <f>1000000/1000/9.81/IF(Table1[[#This Row],[Dam height (m)]]="",10,Table1[[#This Row],[Dam height (m)]])*3600</f>
        <v>24464.831804281344</v>
      </c>
      <c r="N144" s="3">
        <f>(Table1[[#This Row],[Reservoir area (km2)]]*1000000*Table1[[#This Row],[Eo (mm/year)]]/1000)/Table1[[#This Row],[Hydroelectricity (MW)]]/8760*Table1[[#This Row],[Water consumption allocation]]/Table1[[#This Row],[CF]]</f>
        <v>4.0806602848866849</v>
      </c>
      <c r="O144" s="2">
        <v>-2.5099999999999998</v>
      </c>
      <c r="P144" s="2">
        <v>28.84</v>
      </c>
      <c r="Q144" s="12">
        <v>1598</v>
      </c>
      <c r="R144" s="12">
        <v>19</v>
      </c>
      <c r="S144" s="12">
        <f t="shared" ref="S144:S148" si="35">24.7-14.8</f>
        <v>9.8999999999999986</v>
      </c>
      <c r="T144" s="12">
        <f t="shared" ref="T144:T148" si="36">19.5-18.6</f>
        <v>0.89999999999999858</v>
      </c>
      <c r="U144" s="12">
        <f>Table1[[#This Row],[Average temperature (°C)]]+0.006*Table1[[#This Row],[Average Country Elevation]]</f>
        <v>28.588000000000001</v>
      </c>
      <c r="V144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4" s="14">
        <f>(700*Table1[[#This Row],[Tm]]/(100-Table1[[#This Row],[Decimal degree latitude]])+15*Table1[[#This Row],[T-Td]])/(80-Table1[[#This Row],[Average temperature (°C)]])*365</f>
        <v>1649.8423428741858</v>
      </c>
    </row>
    <row r="145" spans="1:23" x14ac:dyDescent="0.25">
      <c r="A145" s="2" t="s">
        <v>27</v>
      </c>
      <c r="B145" s="2" t="s">
        <v>105</v>
      </c>
      <c r="C145" s="2" t="s">
        <v>105</v>
      </c>
      <c r="D145" s="2" t="s">
        <v>94</v>
      </c>
      <c r="E145" s="2">
        <v>2014</v>
      </c>
      <c r="F145" s="2">
        <v>10</v>
      </c>
      <c r="G145" s="2" t="s">
        <v>48</v>
      </c>
      <c r="H145" s="2">
        <v>3.26</v>
      </c>
      <c r="I145" s="2">
        <v>28</v>
      </c>
      <c r="J145" s="2">
        <v>0.4</v>
      </c>
      <c r="K145" s="2">
        <v>1</v>
      </c>
      <c r="L14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5" s="2">
        <f>1000000/1000/9.81/IF(Table1[[#This Row],[Dam height (m)]]="",10,Table1[[#This Row],[Dam height (m)]])*3600</f>
        <v>36697.247706422015</v>
      </c>
      <c r="N145" s="3">
        <f>(Table1[[#This Row],[Reservoir area (km2)]]*1000000*Table1[[#This Row],[Eo (mm/year)]]/1000)/Table1[[#This Row],[Hydroelectricity (MW)]]/8760*Table1[[#This Row],[Water consumption allocation]]/Table1[[#This Row],[CF]]</f>
        <v>55.018236325775796</v>
      </c>
      <c r="O145" s="2">
        <v>-1.9887220000000001</v>
      </c>
      <c r="P145" s="2">
        <v>29.633139</v>
      </c>
      <c r="Q145" s="12">
        <v>1598</v>
      </c>
      <c r="R145" s="12">
        <v>19</v>
      </c>
      <c r="S145" s="12">
        <f t="shared" si="35"/>
        <v>9.8999999999999986</v>
      </c>
      <c r="T145" s="12">
        <f t="shared" si="36"/>
        <v>0.89999999999999858</v>
      </c>
      <c r="U145" s="12">
        <f>Table1[[#This Row],[Average temperature (°C)]]+0.006*Table1[[#This Row],[Average Country Elevation]]</f>
        <v>28.588000000000001</v>
      </c>
      <c r="V145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5" s="14">
        <f>(700*Table1[[#This Row],[Tm]]/(100-Table1[[#This Row],[Decimal degree latitude]])+15*Table1[[#This Row],[T-Td]])/(80-Table1[[#This Row],[Average temperature (°C)]])*365</f>
        <v>1655.8126387713237</v>
      </c>
    </row>
    <row r="146" spans="1:23" x14ac:dyDescent="0.25">
      <c r="A146" s="2" t="s">
        <v>27</v>
      </c>
      <c r="B146" s="2" t="s">
        <v>104</v>
      </c>
      <c r="C146" s="2" t="s">
        <v>103</v>
      </c>
      <c r="D146" s="2" t="s">
        <v>94</v>
      </c>
      <c r="E146" s="2">
        <v>2010</v>
      </c>
      <c r="F146" s="2">
        <v>10</v>
      </c>
      <c r="G146" s="2" t="s">
        <v>48</v>
      </c>
      <c r="H146" s="2"/>
      <c r="I146" s="2">
        <v>12</v>
      </c>
      <c r="J146" s="2">
        <v>0.4</v>
      </c>
      <c r="K146" s="2">
        <v>1</v>
      </c>
      <c r="L14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6" s="2">
        <f>1000000/1000/9.81/IF(Table1[[#This Row],[Dam height (m)]]="",10,Table1[[#This Row],[Dam height (m)]])*3600</f>
        <v>36697.247706422015</v>
      </c>
      <c r="N14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46" s="2">
        <v>-1.5889</v>
      </c>
      <c r="P146" s="2">
        <v>29.637499999999999</v>
      </c>
      <c r="Q146" s="12">
        <v>1598</v>
      </c>
      <c r="R146" s="12">
        <v>19</v>
      </c>
      <c r="S146" s="12">
        <f t="shared" si="35"/>
        <v>9.8999999999999986</v>
      </c>
      <c r="T146" s="12">
        <f t="shared" si="36"/>
        <v>0.89999999999999858</v>
      </c>
      <c r="U146" s="12">
        <f>Table1[[#This Row],[Average temperature (°C)]]+0.006*Table1[[#This Row],[Average Country Elevation]]</f>
        <v>28.588000000000001</v>
      </c>
      <c r="V146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6" s="14">
        <f>(700*Table1[[#This Row],[Tm]]/(100-Table1[[#This Row],[Decimal degree latitude]])+15*Table1[[#This Row],[T-Td]])/(80-Table1[[#This Row],[Average temperature (°C)]])*365</f>
        <v>1660.433395691191</v>
      </c>
    </row>
    <row r="147" spans="1:23" x14ac:dyDescent="0.25">
      <c r="A147" s="2" t="s">
        <v>27</v>
      </c>
      <c r="B147" s="2" t="s">
        <v>373</v>
      </c>
      <c r="C147" s="2" t="s">
        <v>219</v>
      </c>
      <c r="D147" s="2" t="s">
        <v>94</v>
      </c>
      <c r="E147" s="2">
        <v>1959</v>
      </c>
      <c r="F147" s="2">
        <v>10</v>
      </c>
      <c r="G147" s="2" t="s">
        <v>48</v>
      </c>
      <c r="H147" s="2"/>
      <c r="I147" s="2">
        <v>13.35</v>
      </c>
      <c r="J147" s="2">
        <v>0.4</v>
      </c>
      <c r="K147" s="2">
        <v>1</v>
      </c>
      <c r="L14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7" s="2">
        <f>1000000/1000/9.81/IF(Table1[[#This Row],[Dam height (m)]]="",10,Table1[[#This Row],[Dam height (m)]])*3600</f>
        <v>36697.247706422015</v>
      </c>
      <c r="N14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47" s="2">
        <v>-2.0277780000000001</v>
      </c>
      <c r="P147" s="2">
        <v>29.399439999999998</v>
      </c>
      <c r="Q147" s="12">
        <v>1598</v>
      </c>
      <c r="R147" s="12">
        <v>19</v>
      </c>
      <c r="S147" s="12">
        <f t="shared" si="35"/>
        <v>9.8999999999999986</v>
      </c>
      <c r="T147" s="12">
        <f t="shared" si="36"/>
        <v>0.89999999999999858</v>
      </c>
      <c r="U147" s="12">
        <f>Table1[[#This Row],[Average temperature (°C)]]+0.006*Table1[[#This Row],[Average Country Elevation]]</f>
        <v>28.588000000000001</v>
      </c>
      <c r="V147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7" s="14">
        <f>(700*Table1[[#This Row],[Tm]]/(100-Table1[[#This Row],[Decimal degree latitude]])+15*Table1[[#This Row],[T-Td]])/(80-Table1[[#This Row],[Average temperature (°C)]])*365</f>
        <v>1655.3632088045015</v>
      </c>
    </row>
    <row r="148" spans="1:23" x14ac:dyDescent="0.25">
      <c r="A148" s="2" t="s">
        <v>27</v>
      </c>
      <c r="B148" s="2" t="s">
        <v>106</v>
      </c>
      <c r="C148" s="2" t="s">
        <v>106</v>
      </c>
      <c r="D148" s="2" t="s">
        <v>94</v>
      </c>
      <c r="E148" s="2">
        <v>2014</v>
      </c>
      <c r="F148" s="2">
        <v>10</v>
      </c>
      <c r="G148" s="2"/>
      <c r="H148" s="2"/>
      <c r="I148" s="2">
        <v>9</v>
      </c>
      <c r="J148" s="2">
        <v>0.4</v>
      </c>
      <c r="K148" s="2">
        <v>1</v>
      </c>
      <c r="L14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48" s="2">
        <f>1000000/1000/9.81/IF(Table1[[#This Row],[Dam height (m)]]="",10,Table1[[#This Row],[Dam height (m)]])*3600</f>
        <v>36697.247706422015</v>
      </c>
      <c r="N14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48" s="2">
        <v>-2.4683329999999999</v>
      </c>
      <c r="P148" s="2">
        <v>29.553332999999999</v>
      </c>
      <c r="Q148" s="12">
        <v>1598</v>
      </c>
      <c r="R148" s="12">
        <v>19</v>
      </c>
      <c r="S148" s="12">
        <f t="shared" si="35"/>
        <v>9.8999999999999986</v>
      </c>
      <c r="T148" s="12">
        <f t="shared" si="36"/>
        <v>0.89999999999999858</v>
      </c>
      <c r="U148" s="12">
        <f>Table1[[#This Row],[Average temperature (°C)]]+0.006*Table1[[#This Row],[Average Country Elevation]]</f>
        <v>28.588000000000001</v>
      </c>
      <c r="V148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W148" s="14">
        <f>(700*Table1[[#This Row],[Tm]]/(100-Table1[[#This Row],[Decimal degree latitude]])+15*Table1[[#This Row],[T-Td]])/(80-Table1[[#This Row],[Average temperature (°C)]])*365</f>
        <v>1650.3173292699435</v>
      </c>
    </row>
    <row r="149" spans="1:23" x14ac:dyDescent="0.25">
      <c r="A149" s="2" t="s">
        <v>343</v>
      </c>
      <c r="B149" s="2" t="s">
        <v>345</v>
      </c>
      <c r="C149" s="2" t="s">
        <v>328</v>
      </c>
      <c r="D149" s="2"/>
      <c r="E149" s="2">
        <v>1988</v>
      </c>
      <c r="F149" s="2">
        <v>65</v>
      </c>
      <c r="G149" s="2">
        <v>11.3</v>
      </c>
      <c r="H149" s="2">
        <v>477</v>
      </c>
      <c r="I149" s="2">
        <v>150</v>
      </c>
      <c r="J149" s="2">
        <v>0.46</v>
      </c>
      <c r="K149" s="2">
        <v>3</v>
      </c>
      <c r="L14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49" s="2">
        <f>1000000/1000/9.81/IF(Table1[[#This Row],[Dam height (m)]]="",10,Table1[[#This Row],[Dam height (m)]])*3600</f>
        <v>5645.7304163726176</v>
      </c>
      <c r="N149" s="3">
        <f>(Table1[[#This Row],[Reservoir area (km2)]]*1000000*Table1[[#This Row],[Eo (mm/year)]]/1000)/Table1[[#This Row],[Hydroelectricity (MW)]]/8760*Table1[[#This Row],[Water consumption allocation]]/Table1[[#This Row],[CF]]</f>
        <v>487.76320776065882</v>
      </c>
      <c r="O149" s="2">
        <v>13.195556</v>
      </c>
      <c r="P149" s="2">
        <v>-10.428889</v>
      </c>
      <c r="Q149" s="12">
        <v>69</v>
      </c>
      <c r="R149" s="12">
        <v>27.4</v>
      </c>
      <c r="S149" s="12">
        <f>33-21.4</f>
        <v>11.600000000000001</v>
      </c>
      <c r="T149" s="12">
        <f>29.5-23.8</f>
        <v>5.6999999999999993</v>
      </c>
      <c r="U149" s="12">
        <f>Table1[[#This Row],[Average temperature (°C)]]+0.006*Table1[[#This Row],[Average Country Elevation]]</f>
        <v>27.814</v>
      </c>
      <c r="V149" s="12">
        <f>0.0023*Table1[[#This Row],[Average Country Elevation]]+0.37*Table1[[#This Row],[Average temperature (°C)]]+0.53*Table1[[#This Row],[Average Range]]+0.35*Table1[[#This Row],[Average range hot-cold]]-10.9</f>
        <v>7.5397000000000016</v>
      </c>
      <c r="W149" s="14">
        <f>(700*Table1[[#This Row],[Tm]]/(100-Table1[[#This Row],[Decimal degree latitude]])+15*Table1[[#This Row],[T-Td]])/(80-Table1[[#This Row],[Average temperature (°C)]])*365</f>
        <v>2341.2076210124246</v>
      </c>
    </row>
    <row r="150" spans="1:23" x14ac:dyDescent="0.25">
      <c r="A150" s="2" t="s">
        <v>238</v>
      </c>
      <c r="B150" s="2" t="s">
        <v>338</v>
      </c>
      <c r="C150" s="2"/>
      <c r="D150" s="2"/>
      <c r="E150" s="2">
        <v>2009</v>
      </c>
      <c r="F150" s="2">
        <v>88</v>
      </c>
      <c r="G150" s="2">
        <v>445</v>
      </c>
      <c r="H150" s="2">
        <v>21</v>
      </c>
      <c r="I150" s="2">
        <v>50</v>
      </c>
      <c r="J150" s="2">
        <v>0.27</v>
      </c>
      <c r="K150" s="2">
        <v>1</v>
      </c>
      <c r="L15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0" s="2">
        <f>1000000/1000/9.81/IF(Table1[[#This Row],[Dam height (m)]]="",10,Table1[[#This Row],[Dam height (m)]])*3600</f>
        <v>4170.1417848206838</v>
      </c>
      <c r="N150" s="3">
        <f>(Table1[[#This Row],[Reservoir area (km2)]]*1000000*Table1[[#This Row],[Eo (mm/year)]]/1000)/Table1[[#This Row],[Hydroelectricity (MW)]]/8760*Table1[[#This Row],[Water consumption allocation]]/Table1[[#This Row],[CF]]</f>
        <v>336.54790788415585</v>
      </c>
      <c r="O150" s="2">
        <v>9.0538860000000003</v>
      </c>
      <c r="P150" s="2">
        <v>-11.735469999999999</v>
      </c>
      <c r="Q150" s="12">
        <v>279</v>
      </c>
      <c r="R150" s="12">
        <v>26.1</v>
      </c>
      <c r="S150" s="12">
        <f>30.1-22.5</f>
        <v>7.6000000000000014</v>
      </c>
      <c r="T150" s="12">
        <f>27.8-25</f>
        <v>2.8000000000000007</v>
      </c>
      <c r="U150" s="12">
        <f>Table1[[#This Row],[Average temperature (°C)]]+0.006*Table1[[#This Row],[Average Country Elevation]]</f>
        <v>27.774000000000001</v>
      </c>
      <c r="V150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W150" s="14">
        <f>(700*Table1[[#This Row],[Tm]]/(100-Table1[[#This Row],[Decimal degree latitude]])+15*Table1[[#This Row],[T-Td]])/(80-Table1[[#This Row],[Average temperature (°C)]])*365</f>
        <v>1895.2455041133464</v>
      </c>
    </row>
    <row r="151" spans="1:23" x14ac:dyDescent="0.25">
      <c r="A151" s="2" t="s">
        <v>238</v>
      </c>
      <c r="B151" s="2" t="s">
        <v>341</v>
      </c>
      <c r="C151" s="2"/>
      <c r="D151" s="2"/>
      <c r="E151" s="2"/>
      <c r="F151" s="2"/>
      <c r="G151" s="2"/>
      <c r="H151" s="2"/>
      <c r="I151" s="2">
        <v>6</v>
      </c>
      <c r="J151" s="2">
        <v>0.27</v>
      </c>
      <c r="K151" s="2">
        <v>1</v>
      </c>
      <c r="L15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1" s="2">
        <f>1000000/1000/9.81/IF(Table1[[#This Row],[Dam height (m)]]="",10,Table1[[#This Row],[Dam height (m)]])*3600</f>
        <v>36697.247706422015</v>
      </c>
      <c r="N15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51" s="2">
        <v>7.9563889999999997</v>
      </c>
      <c r="P151" s="2">
        <v>-11.74</v>
      </c>
      <c r="Q151" s="12">
        <v>279</v>
      </c>
      <c r="R151" s="12">
        <v>26.1</v>
      </c>
      <c r="S151" s="12">
        <f t="shared" ref="S151:S153" si="37">30.1-22.5</f>
        <v>7.6000000000000014</v>
      </c>
      <c r="T151" s="12">
        <f t="shared" ref="T151:T153" si="38">27.8-25</f>
        <v>2.8000000000000007</v>
      </c>
      <c r="U151" s="12">
        <f>Table1[[#This Row],[Average temperature (°C)]]+0.006*Table1[[#This Row],[Average Country Elevation]]</f>
        <v>27.774000000000001</v>
      </c>
      <c r="V151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W151" s="14">
        <f>(700*Table1[[#This Row],[Tm]]/(100-Table1[[#This Row],[Decimal degree latitude]])+15*Table1[[#This Row],[T-Td]])/(80-Table1[[#This Row],[Average temperature (°C)]])*365</f>
        <v>1877.9844975810283</v>
      </c>
    </row>
    <row r="152" spans="1:23" x14ac:dyDescent="0.25">
      <c r="A152" s="2" t="s">
        <v>238</v>
      </c>
      <c r="B152" s="2" t="s">
        <v>339</v>
      </c>
      <c r="C152" s="2"/>
      <c r="D152" s="2"/>
      <c r="E152" s="2"/>
      <c r="F152" s="2"/>
      <c r="G152" s="2"/>
      <c r="H152" s="2"/>
      <c r="I152" s="2">
        <v>3</v>
      </c>
      <c r="J152" s="2">
        <v>0.27</v>
      </c>
      <c r="K152" s="2">
        <v>1</v>
      </c>
      <c r="L15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2" s="2">
        <f>1000000/1000/9.81/IF(Table1[[#This Row],[Dam height (m)]]="",10,Table1[[#This Row],[Dam height (m)]])*3600</f>
        <v>36697.247706422015</v>
      </c>
      <c r="N15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52" s="2">
        <v>8.766667</v>
      </c>
      <c r="P152" s="2">
        <v>-12.7875</v>
      </c>
      <c r="Q152" s="12">
        <v>279</v>
      </c>
      <c r="R152" s="12">
        <v>26.1</v>
      </c>
      <c r="S152" s="12">
        <f t="shared" si="37"/>
        <v>7.6000000000000014</v>
      </c>
      <c r="T152" s="12">
        <f t="shared" si="38"/>
        <v>2.8000000000000007</v>
      </c>
      <c r="U152" s="12">
        <f>Table1[[#This Row],[Average temperature (°C)]]+0.006*Table1[[#This Row],[Average Country Elevation]]</f>
        <v>27.774000000000001</v>
      </c>
      <c r="V152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W152" s="14">
        <f>(700*Table1[[#This Row],[Tm]]/(100-Table1[[#This Row],[Decimal degree latitude]])+15*Table1[[#This Row],[T-Td]])/(80-Table1[[#This Row],[Average temperature (°C)]])*365</f>
        <v>1890.68811565494</v>
      </c>
    </row>
    <row r="153" spans="1:23" x14ac:dyDescent="0.25">
      <c r="A153" s="2" t="s">
        <v>238</v>
      </c>
      <c r="B153" s="2" t="s">
        <v>340</v>
      </c>
      <c r="C153" s="2"/>
      <c r="D153" s="2"/>
      <c r="E153" s="2"/>
      <c r="F153" s="2"/>
      <c r="G153" s="2"/>
      <c r="H153" s="2"/>
      <c r="I153" s="2">
        <v>2.2000000000000002</v>
      </c>
      <c r="J153" s="2">
        <v>0.27</v>
      </c>
      <c r="K153" s="2">
        <v>1</v>
      </c>
      <c r="L15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3" s="2">
        <f>1000000/1000/9.81/IF(Table1[[#This Row],[Dam height (m)]]="",10,Table1[[#This Row],[Dam height (m)]])*3600</f>
        <v>36697.247706422015</v>
      </c>
      <c r="N15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53" s="2">
        <v>8.3333329999999997</v>
      </c>
      <c r="P153" s="2">
        <v>-13.066667000000001</v>
      </c>
      <c r="Q153" s="12">
        <v>279</v>
      </c>
      <c r="R153" s="12">
        <v>26.1</v>
      </c>
      <c r="S153" s="12">
        <f t="shared" si="37"/>
        <v>7.6000000000000014</v>
      </c>
      <c r="T153" s="12">
        <f t="shared" si="38"/>
        <v>2.8000000000000007</v>
      </c>
      <c r="U153" s="12">
        <f>Table1[[#This Row],[Average temperature (°C)]]+0.006*Table1[[#This Row],[Average Country Elevation]]</f>
        <v>27.774000000000001</v>
      </c>
      <c r="V153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W153" s="14">
        <f>(700*Table1[[#This Row],[Tm]]/(100-Table1[[#This Row],[Decimal degree latitude]])+15*Table1[[#This Row],[T-Td]])/(80-Table1[[#This Row],[Average temperature (°C)]])*365</f>
        <v>1883.8663255244592</v>
      </c>
    </row>
    <row r="154" spans="1:23" x14ac:dyDescent="0.25">
      <c r="A154" s="2" t="s">
        <v>242</v>
      </c>
      <c r="B154" s="2" t="s">
        <v>266</v>
      </c>
      <c r="C154" s="2"/>
      <c r="D154" s="2"/>
      <c r="E154" s="2">
        <v>2017</v>
      </c>
      <c r="F154" s="2">
        <v>480</v>
      </c>
      <c r="G154" s="2">
        <v>26.3</v>
      </c>
      <c r="H154" s="2">
        <f>Table1[[#This Row],[Reservoir capacity (million m3)]]/Table1[[#This Row],[Dam height (m)]]*2</f>
        <v>0.10958333333333334</v>
      </c>
      <c r="I154" s="2">
        <v>1332</v>
      </c>
      <c r="J154" s="2">
        <v>0.18</v>
      </c>
      <c r="K154" s="2">
        <v>1</v>
      </c>
      <c r="L15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4" s="2">
        <f>1000000/1000/9.81/IF(Table1[[#This Row],[Dam height (m)]]="",10,Table1[[#This Row],[Dam height (m)]])*3600</f>
        <v>764.52599388379201</v>
      </c>
      <c r="N154" s="3">
        <f>(Table1[[#This Row],[Reservoir area (km2)]]*1000000*Table1[[#This Row],[Eo (mm/year)]]/1000)/Table1[[#This Row],[Hydroelectricity (MW)]]/8760*Table1[[#This Row],[Water consumption allocation]]/Table1[[#This Row],[CF]]</f>
        <v>7.485812943076918E-2</v>
      </c>
      <c r="O154" s="2">
        <v>-28.281666999999999</v>
      </c>
      <c r="P154" s="2">
        <v>29.585556</v>
      </c>
      <c r="Q154" s="12">
        <v>1034</v>
      </c>
      <c r="R154" s="12">
        <v>17</v>
      </c>
      <c r="S154" s="12">
        <f>23.1-10.6</f>
        <v>12.500000000000002</v>
      </c>
      <c r="T154" s="12">
        <f>21.8-11.3</f>
        <v>10.5</v>
      </c>
      <c r="U154" s="12">
        <f>Table1[[#This Row],[Average temperature (°C)]]+0.006*Table1[[#This Row],[Average Country Elevation]]</f>
        <v>23.204000000000001</v>
      </c>
      <c r="V154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4" s="14">
        <f>(700*Table1[[#This Row],[Tm]]/(100-Table1[[#This Row],[Decimal degree latitude]])+15*Table1[[#This Row],[T-Td]])/(80-Table1[[#This Row],[Average temperature (°C)]])*365</f>
        <v>1434.7469163552901</v>
      </c>
    </row>
    <row r="155" spans="1:23" x14ac:dyDescent="0.25">
      <c r="A155" s="2" t="s">
        <v>242</v>
      </c>
      <c r="B155" s="2" t="s">
        <v>267</v>
      </c>
      <c r="C155" s="2"/>
      <c r="D155" s="2"/>
      <c r="E155" s="2">
        <v>1981</v>
      </c>
      <c r="F155" s="2">
        <v>460</v>
      </c>
      <c r="G155" s="2">
        <v>35.299999999999997</v>
      </c>
      <c r="H155" s="2">
        <f>Table1[[#This Row],[Reservoir capacity (million m3)]]/Table1[[#This Row],[Dam height (m)]]*2</f>
        <v>0.1534782608695652</v>
      </c>
      <c r="I155" s="2">
        <v>1000</v>
      </c>
      <c r="J155" s="2">
        <v>0.18</v>
      </c>
      <c r="K155" s="2">
        <v>1</v>
      </c>
      <c r="L15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5" s="2">
        <f>1000000/1000/9.81/IF(Table1[[#This Row],[Dam height (m)]]="",10,Table1[[#This Row],[Dam height (m)]])*3600</f>
        <v>797.76625448743516</v>
      </c>
      <c r="N155" s="3">
        <f>(Table1[[#This Row],[Reservoir area (km2)]]*1000000*Table1[[#This Row],[Eo (mm/year)]]/1000)/Table1[[#This Row],[Hydroelectricity (MW)]]/8760*Table1[[#This Row],[Water consumption allocation]]/Table1[[#This Row],[CF]]</f>
        <v>0.13884621396254124</v>
      </c>
      <c r="O155" s="2">
        <v>-29.744900000000001</v>
      </c>
      <c r="P155" s="2">
        <v>29.264299999999999</v>
      </c>
      <c r="Q155" s="12">
        <v>1034</v>
      </c>
      <c r="R155" s="12">
        <v>17</v>
      </c>
      <c r="S155" s="12">
        <f t="shared" ref="S155:S165" si="39">23.1-10.6</f>
        <v>12.500000000000002</v>
      </c>
      <c r="T155" s="12">
        <f t="shared" ref="T155:T165" si="40">21.8-11.3</f>
        <v>10.5</v>
      </c>
      <c r="U155" s="12">
        <f>Table1[[#This Row],[Average temperature (°C)]]+0.006*Table1[[#This Row],[Average Country Elevation]]</f>
        <v>23.204000000000001</v>
      </c>
      <c r="V155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5" s="14">
        <f>(700*Table1[[#This Row],[Tm]]/(100-Table1[[#This Row],[Decimal degree latitude]])+15*Table1[[#This Row],[T-Td]])/(80-Table1[[#This Row],[Average temperature (°C)]])*365</f>
        <v>1426.4737490229761</v>
      </c>
    </row>
    <row r="156" spans="1:23" x14ac:dyDescent="0.25">
      <c r="A156" s="2" t="s">
        <v>242</v>
      </c>
      <c r="B156" s="2" t="s">
        <v>271</v>
      </c>
      <c r="C156" s="2" t="s">
        <v>272</v>
      </c>
      <c r="D156" s="2"/>
      <c r="E156" s="2">
        <v>1983</v>
      </c>
      <c r="F156" s="2">
        <v>60</v>
      </c>
      <c r="G156" s="2">
        <v>25</v>
      </c>
      <c r="H156" s="2">
        <f>Table1[[#This Row],[Reservoir capacity (million m3)]]/Table1[[#This Row],[Dam height (m)]]*2</f>
        <v>0.83333333333333337</v>
      </c>
      <c r="I156" s="2">
        <v>400</v>
      </c>
      <c r="J156" s="2">
        <v>0.18</v>
      </c>
      <c r="K156" s="2">
        <v>2</v>
      </c>
      <c r="L15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M156" s="2">
        <f>1000000/1000/9.81/IF(Table1[[#This Row],[Dam height (m)]]="",10,Table1[[#This Row],[Dam height (m)]])*3600</f>
        <v>6116.2079510703361</v>
      </c>
      <c r="N156" s="3">
        <f>(Table1[[#This Row],[Reservoir area (km2)]]*1000000*Table1[[#This Row],[Eo (mm/year)]]/1000)/Table1[[#This Row],[Hydroelectricity (MW)]]/8760*Table1[[#This Row],[Water consumption allocation]]/Table1[[#This Row],[CF]]</f>
        <v>1.0142644090767456</v>
      </c>
      <c r="O156" s="2">
        <v>-33.032220000000002</v>
      </c>
      <c r="P156" s="2">
        <v>24.627220000000001</v>
      </c>
      <c r="Q156" s="12">
        <v>1034</v>
      </c>
      <c r="R156" s="12">
        <v>17</v>
      </c>
      <c r="S156" s="12">
        <f t="shared" si="39"/>
        <v>12.500000000000002</v>
      </c>
      <c r="T156" s="12">
        <f t="shared" si="40"/>
        <v>10.5</v>
      </c>
      <c r="U156" s="12">
        <f>Table1[[#This Row],[Average temperature (°C)]]+0.006*Table1[[#This Row],[Average Country Elevation]]</f>
        <v>23.204000000000001</v>
      </c>
      <c r="V156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6" s="14">
        <f>(700*Table1[[#This Row],[Tm]]/(100-Table1[[#This Row],[Decimal degree latitude]])+15*Table1[[#This Row],[T-Td]])/(80-Table1[[#This Row],[Average temperature (°C)]])*365</f>
        <v>1408.5508581861684</v>
      </c>
    </row>
    <row r="157" spans="1:23" x14ac:dyDescent="0.25">
      <c r="A157" s="2" t="s">
        <v>242</v>
      </c>
      <c r="B157" s="2" t="s">
        <v>268</v>
      </c>
      <c r="C157" s="2" t="s">
        <v>269</v>
      </c>
      <c r="D157" s="2" t="s">
        <v>270</v>
      </c>
      <c r="E157" s="2">
        <v>1971</v>
      </c>
      <c r="F157" s="2">
        <v>88</v>
      </c>
      <c r="G157" s="2">
        <v>5340</v>
      </c>
      <c r="H157" s="2">
        <v>374</v>
      </c>
      <c r="I157" s="2">
        <v>360.791</v>
      </c>
      <c r="J157" s="2">
        <v>0.18</v>
      </c>
      <c r="K157" s="2">
        <v>3</v>
      </c>
      <c r="L15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57" s="2">
        <f>1000000/1000/9.81/IF(Table1[[#This Row],[Dam height (m)]]="",10,Table1[[#This Row],[Dam height (m)]])*3600</f>
        <v>4170.1417848206838</v>
      </c>
      <c r="N157" s="3">
        <f>(Table1[[#This Row],[Reservoir area (km2)]]*1000000*Table1[[#This Row],[Eo (mm/year)]]/1000)/Table1[[#This Row],[Hydroelectricity (MW)]]/8760*Table1[[#This Row],[Water consumption allocation]]/Table1[[#This Row],[CF]]</f>
        <v>248.67937526726055</v>
      </c>
      <c r="O157" s="2">
        <v>-28.616667</v>
      </c>
      <c r="P157" s="2">
        <v>21.783334</v>
      </c>
      <c r="Q157" s="12">
        <v>1034</v>
      </c>
      <c r="R157" s="12">
        <v>17</v>
      </c>
      <c r="S157" s="12">
        <f t="shared" si="39"/>
        <v>12.500000000000002</v>
      </c>
      <c r="T157" s="12">
        <f t="shared" si="40"/>
        <v>10.5</v>
      </c>
      <c r="U157" s="12">
        <f>Table1[[#This Row],[Average temperature (°C)]]+0.006*Table1[[#This Row],[Average Country Elevation]]</f>
        <v>23.204000000000001</v>
      </c>
      <c r="V157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7" s="14">
        <f>(700*Table1[[#This Row],[Tm]]/(100-Table1[[#This Row],[Decimal degree latitude]])+15*Table1[[#This Row],[T-Td]])/(80-Table1[[#This Row],[Average temperature (°C)]])*365</f>
        <v>1432.8362002116426</v>
      </c>
    </row>
    <row r="158" spans="1:23" x14ac:dyDescent="0.25">
      <c r="A158" s="2" t="s">
        <v>242</v>
      </c>
      <c r="B158" s="2" t="s">
        <v>274</v>
      </c>
      <c r="C158" s="2" t="s">
        <v>269</v>
      </c>
      <c r="D158" s="2" t="s">
        <v>270</v>
      </c>
      <c r="E158" s="2">
        <v>1977</v>
      </c>
      <c r="F158" s="2">
        <v>108</v>
      </c>
      <c r="G158" s="2">
        <v>3187.5569999999998</v>
      </c>
      <c r="H158" s="2">
        <v>133.34</v>
      </c>
      <c r="I158" s="2">
        <v>240</v>
      </c>
      <c r="J158" s="2">
        <v>0.18</v>
      </c>
      <c r="K158" s="2">
        <v>2</v>
      </c>
      <c r="L15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M158" s="2">
        <f>1000000/1000/9.81/IF(Table1[[#This Row],[Dam height (m)]]="",10,Table1[[#This Row],[Dam height (m)]])*3600</f>
        <v>3397.8933061501871</v>
      </c>
      <c r="N158" s="3">
        <f>(Table1[[#This Row],[Reservoir area (km2)]]*1000000*Table1[[#This Row],[Eo (mm/year)]]/1000)/Table1[[#This Row],[Hydroelectricity (MW)]]/8760*Table1[[#This Row],[Water consumption allocation]]/Table1[[#This Row],[CF]]</f>
        <v>273.6593825643813</v>
      </c>
      <c r="O158" s="2">
        <v>-29.99352</v>
      </c>
      <c r="P158" s="2">
        <v>24.730840000000001</v>
      </c>
      <c r="Q158" s="12">
        <v>1034</v>
      </c>
      <c r="R158" s="12">
        <v>17</v>
      </c>
      <c r="S158" s="12">
        <f t="shared" si="39"/>
        <v>12.500000000000002</v>
      </c>
      <c r="T158" s="12">
        <f t="shared" si="40"/>
        <v>10.5</v>
      </c>
      <c r="U158" s="12">
        <f>Table1[[#This Row],[Average temperature (°C)]]+0.006*Table1[[#This Row],[Average Country Elevation]]</f>
        <v>23.204000000000001</v>
      </c>
      <c r="V158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8" s="14">
        <f>(700*Table1[[#This Row],[Tm]]/(100-Table1[[#This Row],[Decimal degree latitude]])+15*Table1[[#This Row],[T-Td]])/(80-Table1[[#This Row],[Average temperature (°C)]])*365</f>
        <v>1425.0865547906631</v>
      </c>
    </row>
    <row r="159" spans="1:23" x14ac:dyDescent="0.25">
      <c r="A159" s="2" t="s">
        <v>242</v>
      </c>
      <c r="B159" s="2" t="s">
        <v>273</v>
      </c>
      <c r="C159" s="2"/>
      <c r="D159" s="2"/>
      <c r="E159" s="2">
        <v>1921</v>
      </c>
      <c r="F159" s="2">
        <v>28</v>
      </c>
      <c r="G159" s="2">
        <v>33.5</v>
      </c>
      <c r="H159" s="2">
        <f>Table1[[#This Row],[Reservoir capacity (million m3)]]/Table1[[#This Row],[Dam height (m)]]*2</f>
        <v>2.3928571428571428</v>
      </c>
      <c r="I159" s="2">
        <v>190.4</v>
      </c>
      <c r="J159" s="2">
        <v>0.18</v>
      </c>
      <c r="K159" s="2">
        <v>1</v>
      </c>
      <c r="L15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59" s="2">
        <f>1000000/1000/9.81/IF(Table1[[#This Row],[Dam height (m)]]="",10,Table1[[#This Row],[Dam height (m)]])*3600</f>
        <v>13106.15989515072</v>
      </c>
      <c r="N159" s="3">
        <f>(Table1[[#This Row],[Reservoir area (km2)]]*1000000*Table1[[#This Row],[Eo (mm/year)]]/1000)/Table1[[#This Row],[Hydroelectricity (MW)]]/8760*Table1[[#This Row],[Water consumption allocation]]/Table1[[#This Row],[CF]]</f>
        <v>11.17802245917292</v>
      </c>
      <c r="O159" s="2">
        <v>-34.186836</v>
      </c>
      <c r="P159" s="2">
        <v>18.852530999999999</v>
      </c>
      <c r="Q159" s="12">
        <v>1034</v>
      </c>
      <c r="R159" s="12">
        <v>17</v>
      </c>
      <c r="S159" s="12">
        <f t="shared" si="39"/>
        <v>12.500000000000002</v>
      </c>
      <c r="T159" s="12">
        <f t="shared" si="40"/>
        <v>10.5</v>
      </c>
      <c r="U159" s="12">
        <f>Table1[[#This Row],[Average temperature (°C)]]+0.006*Table1[[#This Row],[Average Country Elevation]]</f>
        <v>23.204000000000001</v>
      </c>
      <c r="V159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59" s="14">
        <f>(700*Table1[[#This Row],[Tm]]/(100-Table1[[#This Row],[Decimal degree latitude]])+15*Table1[[#This Row],[T-Td]])/(80-Table1[[#This Row],[Average temperature (°C)]])*365</f>
        <v>1402.4641282625603</v>
      </c>
    </row>
    <row r="160" spans="1:23" x14ac:dyDescent="0.25">
      <c r="A160" s="2" t="s">
        <v>242</v>
      </c>
      <c r="B160" s="2" t="s">
        <v>275</v>
      </c>
      <c r="C160" s="2" t="s">
        <v>276</v>
      </c>
      <c r="D160" s="2"/>
      <c r="E160" s="2">
        <v>1985</v>
      </c>
      <c r="F160" s="2">
        <v>135</v>
      </c>
      <c r="G160" s="2">
        <v>7.5</v>
      </c>
      <c r="H160" s="2">
        <f>Table1[[#This Row],[Reservoir capacity (million m3)]]/Table1[[#This Row],[Dam height (m)]]*2</f>
        <v>0.1111111111111111</v>
      </c>
      <c r="I160" s="2">
        <v>42</v>
      </c>
      <c r="J160" s="2">
        <v>0.18</v>
      </c>
      <c r="K160" s="2">
        <v>1</v>
      </c>
      <c r="L16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0" s="2">
        <f>1000000/1000/9.81/IF(Table1[[#This Row],[Dam height (m)]]="",10,Table1[[#This Row],[Dam height (m)]])*3600</f>
        <v>2718.3146449201495</v>
      </c>
      <c r="N160" s="3">
        <f>(Table1[[#This Row],[Reservoir area (km2)]]*1000000*Table1[[#This Row],[Eo (mm/year)]]/1000)/Table1[[#This Row],[Hydroelectricity (MW)]]/8760*Table1[[#This Row],[Water consumption allocation]]/Table1[[#This Row],[CF]]</f>
        <v>2.3722533099047158</v>
      </c>
      <c r="O160" s="2">
        <v>-32.027301000000001</v>
      </c>
      <c r="P160" s="2">
        <v>28.598943999999999</v>
      </c>
      <c r="Q160" s="12">
        <v>1034</v>
      </c>
      <c r="R160" s="12">
        <v>17</v>
      </c>
      <c r="S160" s="12">
        <f t="shared" si="39"/>
        <v>12.500000000000002</v>
      </c>
      <c r="T160" s="12">
        <f t="shared" si="40"/>
        <v>10.5</v>
      </c>
      <c r="U160" s="12">
        <f>Table1[[#This Row],[Average temperature (°C)]]+0.006*Table1[[#This Row],[Average Country Elevation]]</f>
        <v>23.204000000000001</v>
      </c>
      <c r="V160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0" s="14">
        <f>(700*Table1[[#This Row],[Tm]]/(100-Table1[[#This Row],[Decimal degree latitude]])+15*Table1[[#This Row],[T-Td]])/(80-Table1[[#This Row],[Average temperature (°C)]])*365</f>
        <v>1413.9350892038319</v>
      </c>
    </row>
    <row r="161" spans="1:23" x14ac:dyDescent="0.25">
      <c r="A161" s="2" t="s">
        <v>242</v>
      </c>
      <c r="B161" s="2" t="s">
        <v>374</v>
      </c>
      <c r="C161" s="2"/>
      <c r="D161" s="2"/>
      <c r="E161" s="2"/>
      <c r="F161" s="2"/>
      <c r="G161" s="2"/>
      <c r="H161" s="2"/>
      <c r="I161" s="2">
        <v>12.03</v>
      </c>
      <c r="J161" s="2">
        <v>0.18</v>
      </c>
      <c r="K161" s="2">
        <v>1</v>
      </c>
      <c r="L16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1" s="2">
        <f>1000000/1000/9.81/IF(Table1[[#This Row],[Dam height (m)]]="",10,Table1[[#This Row],[Dam height (m)]])*3600</f>
        <v>36697.247706422015</v>
      </c>
      <c r="N16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1" s="2">
        <v>-28.771999999999998</v>
      </c>
      <c r="P161" s="2">
        <v>20.74305</v>
      </c>
      <c r="Q161" s="12">
        <v>1034</v>
      </c>
      <c r="R161" s="12">
        <v>17</v>
      </c>
      <c r="S161" s="12">
        <f t="shared" si="39"/>
        <v>12.500000000000002</v>
      </c>
      <c r="T161" s="12">
        <f t="shared" si="40"/>
        <v>10.5</v>
      </c>
      <c r="U161" s="12">
        <f>Table1[[#This Row],[Average temperature (°C)]]+0.006*Table1[[#This Row],[Average Country Elevation]]</f>
        <v>23.204000000000001</v>
      </c>
      <c r="V161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1" s="14">
        <f>(700*Table1[[#This Row],[Tm]]/(100-Table1[[#This Row],[Decimal degree latitude]])+15*Table1[[#This Row],[T-Td]])/(80-Table1[[#This Row],[Average temperature (°C)]])*365</f>
        <v>1431.9536117409932</v>
      </c>
    </row>
    <row r="162" spans="1:23" x14ac:dyDescent="0.25">
      <c r="A162" s="2" t="s">
        <v>242</v>
      </c>
      <c r="B162" s="2" t="s">
        <v>375</v>
      </c>
      <c r="C162" s="2"/>
      <c r="D162" s="2"/>
      <c r="E162" s="2"/>
      <c r="F162" s="2"/>
      <c r="G162" s="2"/>
      <c r="H162" s="2"/>
      <c r="I162" s="2">
        <v>17</v>
      </c>
      <c r="J162" s="2">
        <v>0.18</v>
      </c>
      <c r="K162" s="2">
        <v>1</v>
      </c>
      <c r="L16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2" s="2">
        <f>1000000/1000/9.81/IF(Table1[[#This Row],[Dam height (m)]]="",10,Table1[[#This Row],[Dam height (m)]])*3600</f>
        <v>36697.247706422015</v>
      </c>
      <c r="N16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2" s="2">
        <v>-31.684884207349999</v>
      </c>
      <c r="P162" s="2">
        <v>28.883228302001999</v>
      </c>
      <c r="Q162" s="12">
        <v>1034</v>
      </c>
      <c r="R162" s="12">
        <v>17</v>
      </c>
      <c r="S162" s="12">
        <f t="shared" si="39"/>
        <v>12.500000000000002</v>
      </c>
      <c r="T162" s="12">
        <f t="shared" si="40"/>
        <v>10.5</v>
      </c>
      <c r="U162" s="12">
        <f>Table1[[#This Row],[Average temperature (°C)]]+0.006*Table1[[#This Row],[Average Country Elevation]]</f>
        <v>23.204000000000001</v>
      </c>
      <c r="V162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2" s="14">
        <f>(700*Table1[[#This Row],[Tm]]/(100-Table1[[#This Row],[Decimal degree latitude]])+15*Table1[[#This Row],[T-Td]])/(80-Table1[[#This Row],[Average temperature (°C)]])*365</f>
        <v>1415.7884868000033</v>
      </c>
    </row>
    <row r="163" spans="1:23" x14ac:dyDescent="0.25">
      <c r="A163" s="2" t="s">
        <v>242</v>
      </c>
      <c r="B163" s="2" t="s">
        <v>376</v>
      </c>
      <c r="C163" s="2"/>
      <c r="D163" s="2"/>
      <c r="E163" s="2"/>
      <c r="F163" s="2">
        <v>8</v>
      </c>
      <c r="G163" s="2"/>
      <c r="H163" s="2"/>
      <c r="I163" s="2">
        <v>25.433</v>
      </c>
      <c r="J163" s="2">
        <v>0.18</v>
      </c>
      <c r="K163" s="2">
        <v>1</v>
      </c>
      <c r="L16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3" s="2">
        <f>1000000/1000/9.81/IF(Table1[[#This Row],[Dam height (m)]]="",10,Table1[[#This Row],[Dam height (m)]])*3600</f>
        <v>45871.559633027522</v>
      </c>
      <c r="N16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3" s="2">
        <v>-28.363741999999998</v>
      </c>
      <c r="P163" s="2">
        <v>28.361725</v>
      </c>
      <c r="Q163" s="12">
        <v>1034</v>
      </c>
      <c r="R163" s="12">
        <v>17</v>
      </c>
      <c r="S163" s="12">
        <f t="shared" si="39"/>
        <v>12.500000000000002</v>
      </c>
      <c r="T163" s="12">
        <f t="shared" si="40"/>
        <v>10.5</v>
      </c>
      <c r="U163" s="12">
        <f>Table1[[#This Row],[Average temperature (°C)]]+0.006*Table1[[#This Row],[Average Country Elevation]]</f>
        <v>23.204000000000001</v>
      </c>
      <c r="V163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3" s="14">
        <f>(700*Table1[[#This Row],[Tm]]/(100-Table1[[#This Row],[Decimal degree latitude]])+15*Table1[[#This Row],[T-Td]])/(80-Table1[[#This Row],[Average temperature (°C)]])*365</f>
        <v>1434.277868516338</v>
      </c>
    </row>
    <row r="164" spans="1:23" x14ac:dyDescent="0.25">
      <c r="A164" s="2" t="s">
        <v>242</v>
      </c>
      <c r="B164" s="2" t="s">
        <v>278</v>
      </c>
      <c r="C164" s="2"/>
      <c r="D164" s="2"/>
      <c r="E164" s="2"/>
      <c r="F164" s="2">
        <v>8</v>
      </c>
      <c r="G164" s="2"/>
      <c r="H164" s="2"/>
      <c r="I164" s="2">
        <v>3</v>
      </c>
      <c r="J164" s="2">
        <v>0.18</v>
      </c>
      <c r="K164" s="2">
        <v>1</v>
      </c>
      <c r="L16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4" s="2">
        <f>1000000/1000/9.81/IF(Table1[[#This Row],[Dam height (m)]]="",10,Table1[[#This Row],[Dam height (m)]])*3600</f>
        <v>45871.559633027522</v>
      </c>
      <c r="N16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4" s="2">
        <v>-28.216328000000001</v>
      </c>
      <c r="P164" s="2">
        <v>28.363610999999999</v>
      </c>
      <c r="Q164" s="12">
        <v>1034</v>
      </c>
      <c r="R164" s="12">
        <v>17</v>
      </c>
      <c r="S164" s="12">
        <f t="shared" si="39"/>
        <v>12.500000000000002</v>
      </c>
      <c r="T164" s="12">
        <f t="shared" si="40"/>
        <v>10.5</v>
      </c>
      <c r="U164" s="12">
        <f>Table1[[#This Row],[Average temperature (°C)]]+0.006*Table1[[#This Row],[Average Country Elevation]]</f>
        <v>23.204000000000001</v>
      </c>
      <c r="V164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4" s="14">
        <f>(700*Table1[[#This Row],[Tm]]/(100-Table1[[#This Row],[Decimal degree latitude]])+15*Table1[[#This Row],[T-Td]])/(80-Table1[[#This Row],[Average temperature (°C)]])*365</f>
        <v>1435.1207494667228</v>
      </c>
    </row>
    <row r="165" spans="1:23" x14ac:dyDescent="0.25">
      <c r="A165" s="2" t="s">
        <v>242</v>
      </c>
      <c r="B165" s="2" t="s">
        <v>277</v>
      </c>
      <c r="C165" s="2"/>
      <c r="D165" s="2"/>
      <c r="E165" s="2"/>
      <c r="F165" s="2">
        <v>8</v>
      </c>
      <c r="G165" s="2"/>
      <c r="H165" s="2"/>
      <c r="I165" s="2">
        <v>2.1</v>
      </c>
      <c r="J165" s="2">
        <v>0.18</v>
      </c>
      <c r="K165" s="2">
        <v>1</v>
      </c>
      <c r="L16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5" s="2">
        <f>1000000/1000/9.81/IF(Table1[[#This Row],[Dam height (m)]]="",10,Table1[[#This Row],[Dam height (m)]])*3600</f>
        <v>45871.559633027522</v>
      </c>
      <c r="N16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5" s="2">
        <v>-31.787500000000001</v>
      </c>
      <c r="P165" s="2">
        <v>27.666944000000001</v>
      </c>
      <c r="Q165" s="12">
        <v>1034</v>
      </c>
      <c r="R165" s="12">
        <v>17</v>
      </c>
      <c r="S165" s="12">
        <f t="shared" si="39"/>
        <v>12.500000000000002</v>
      </c>
      <c r="T165" s="12">
        <f t="shared" si="40"/>
        <v>10.5</v>
      </c>
      <c r="U165" s="12">
        <f>Table1[[#This Row],[Average temperature (°C)]]+0.006*Table1[[#This Row],[Average Country Elevation]]</f>
        <v>23.204000000000001</v>
      </c>
      <c r="V165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W165" s="14">
        <f>(700*Table1[[#This Row],[Tm]]/(100-Table1[[#This Row],[Decimal degree latitude]])+15*Table1[[#This Row],[T-Td]])/(80-Table1[[#This Row],[Average temperature (°C)]])*365</f>
        <v>1415.2320481730903</v>
      </c>
    </row>
    <row r="166" spans="1:23" x14ac:dyDescent="0.25">
      <c r="A166" s="2" t="s">
        <v>28</v>
      </c>
      <c r="B166" s="2" t="s">
        <v>115</v>
      </c>
      <c r="C166" s="2" t="s">
        <v>102</v>
      </c>
      <c r="D166" s="2" t="s">
        <v>71</v>
      </c>
      <c r="E166" s="2">
        <v>2006</v>
      </c>
      <c r="F166" s="2">
        <v>5</v>
      </c>
      <c r="G166" s="2"/>
      <c r="H166" s="2"/>
      <c r="I166" s="2">
        <v>5</v>
      </c>
      <c r="J166" s="2">
        <v>0.91</v>
      </c>
      <c r="K166" s="2">
        <v>1</v>
      </c>
      <c r="L16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6" s="2">
        <f>1000000/1000/9.81/IF(Table1[[#This Row],[Dam height (m)]]="",10,Table1[[#This Row],[Dam height (m)]])*3600</f>
        <v>73394.495412844029</v>
      </c>
      <c r="N16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66" s="2">
        <v>4.8207459999999998</v>
      </c>
      <c r="P166" s="2">
        <v>31.604067000000001</v>
      </c>
      <c r="Q166" s="12">
        <v>500</v>
      </c>
      <c r="R166" s="12">
        <v>26.7</v>
      </c>
      <c r="S166" s="12">
        <f>33.7-21.3</f>
        <v>12.400000000000002</v>
      </c>
      <c r="T166" s="12">
        <f>28.8-25.1</f>
        <v>3.6999999999999993</v>
      </c>
      <c r="U166" s="12">
        <f>Table1[[#This Row],[Average temperature (°C)]]+0.006*Table1[[#This Row],[Average Country Elevation]]</f>
        <v>29.7</v>
      </c>
      <c r="V166" s="12">
        <f>0.0023*Table1[[#This Row],[Average Country Elevation]]+0.37*Table1[[#This Row],[Average temperature (°C)]]+0.53*Table1[[#This Row],[Average Range]]+0.35*Table1[[#This Row],[Average range hot-cold]]-10.9</f>
        <v>7.9960000000000004</v>
      </c>
      <c r="W166" s="14">
        <f>(700*Table1[[#This Row],[Tm]]/(100-Table1[[#This Row],[Decimal degree latitude]])+15*Table1[[#This Row],[T-Td]])/(80-Table1[[#This Row],[Average temperature (°C)]])*365</f>
        <v>2317.1675971886125</v>
      </c>
    </row>
    <row r="167" spans="1:23" x14ac:dyDescent="0.25">
      <c r="A167" s="2" t="s">
        <v>29</v>
      </c>
      <c r="B167" s="2" t="s">
        <v>108</v>
      </c>
      <c r="C167" s="2" t="s">
        <v>70</v>
      </c>
      <c r="D167" s="2" t="s">
        <v>71</v>
      </c>
      <c r="E167" s="2">
        <v>2009</v>
      </c>
      <c r="F167" s="2">
        <v>67</v>
      </c>
      <c r="G167" s="2">
        <v>12500</v>
      </c>
      <c r="H167" s="2">
        <v>704.93</v>
      </c>
      <c r="I167" s="2">
        <v>1250</v>
      </c>
      <c r="J167" s="2">
        <v>0.4</v>
      </c>
      <c r="K167" s="2">
        <v>2</v>
      </c>
      <c r="L16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M167" s="2">
        <f>1000000/1000/9.81/IF(Table1[[#This Row],[Dam height (m)]]="",10,Table1[[#This Row],[Dam height (m)]])*3600</f>
        <v>5477.2011502122414</v>
      </c>
      <c r="N167" s="3">
        <f>(Table1[[#This Row],[Reservoir area (km2)]]*1000000*Table1[[#This Row],[Eo (mm/year)]]/1000)/Table1[[#This Row],[Hydroelectricity (MW)]]/8760*Table1[[#This Row],[Water consumption allocation]]/Table1[[#This Row],[CF]]</f>
        <v>482.14367205492448</v>
      </c>
      <c r="O167" s="2">
        <v>18.668889</v>
      </c>
      <c r="P167" s="2">
        <v>32.050277999999999</v>
      </c>
      <c r="Q167" s="12">
        <v>568</v>
      </c>
      <c r="R167" s="12">
        <v>27.9</v>
      </c>
      <c r="S167" s="12">
        <f>34.6-20.6</f>
        <v>14</v>
      </c>
      <c r="T167" s="12">
        <f>31.8-22.7</f>
        <v>9.1000000000000014</v>
      </c>
      <c r="U167" s="12">
        <f>Table1[[#This Row],[Average temperature (°C)]]+0.006*Table1[[#This Row],[Average Country Elevation]]</f>
        <v>31.308</v>
      </c>
      <c r="V167" s="12">
        <f>0.0023*Table1[[#This Row],[Average Country Elevation]]+0.37*Table1[[#This Row],[Average temperature (°C)]]+0.53*Table1[[#This Row],[Average Range]]+0.35*Table1[[#This Row],[Average range hot-cold]]-10.9</f>
        <v>11.3344</v>
      </c>
      <c r="W167" s="14">
        <f>(700*Table1[[#This Row],[Tm]]/(100-Table1[[#This Row],[Decimal degree latitude]])+15*Table1[[#This Row],[T-Td]])/(80-Table1[[#This Row],[Average temperature (°C)]])*365</f>
        <v>3078.872807836422</v>
      </c>
    </row>
    <row r="168" spans="1:23" x14ac:dyDescent="0.25">
      <c r="A168" s="2" t="s">
        <v>29</v>
      </c>
      <c r="B168" s="2" t="s">
        <v>109</v>
      </c>
      <c r="C168" s="2" t="s">
        <v>79</v>
      </c>
      <c r="D168" s="2" t="s">
        <v>71</v>
      </c>
      <c r="E168" s="2">
        <v>1966</v>
      </c>
      <c r="F168" s="2">
        <v>78</v>
      </c>
      <c r="G168" s="2">
        <v>7400</v>
      </c>
      <c r="H168" s="2">
        <v>606.74</v>
      </c>
      <c r="I168" s="2">
        <v>280</v>
      </c>
      <c r="J168" s="2">
        <v>0.4</v>
      </c>
      <c r="K168" s="2">
        <v>2</v>
      </c>
      <c r="L16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M168" s="2">
        <f>1000000/1000/9.81/IF(Table1[[#This Row],[Dam height (m)]]="",10,Table1[[#This Row],[Dam height (m)]])*3600</f>
        <v>4704.7753469771824</v>
      </c>
      <c r="N168" s="3">
        <f>(Table1[[#This Row],[Reservoir area (km2)]]*1000000*Table1[[#This Row],[Eo (mm/year)]]/1000)/Table1[[#This Row],[Hydroelectricity (MW)]]/8760*Table1[[#This Row],[Water consumption allocation]]/Table1[[#This Row],[CF]]</f>
        <v>988.13123416413316</v>
      </c>
      <c r="O168" s="2">
        <v>11.798333333333334</v>
      </c>
      <c r="P168" s="2">
        <v>34.388333333333335</v>
      </c>
      <c r="Q168" s="12">
        <v>568</v>
      </c>
      <c r="R168" s="12">
        <v>27.9</v>
      </c>
      <c r="S168" s="12">
        <f t="shared" ref="S168:S172" si="41">34.6-20.6</f>
        <v>14</v>
      </c>
      <c r="T168" s="12">
        <f t="shared" ref="T168:T172" si="42">31.8-22.7</f>
        <v>9.1000000000000014</v>
      </c>
      <c r="U168" s="12">
        <f>Table1[[#This Row],[Average temperature (°C)]]+0.006*Table1[[#This Row],[Average Country Elevation]]</f>
        <v>31.308</v>
      </c>
      <c r="V168" s="12">
        <f>0.0023*Table1[[#This Row],[Average Country Elevation]]+0.37*Table1[[#This Row],[Average temperature (°C)]]+0.53*Table1[[#This Row],[Average Range]]+0.35*Table1[[#This Row],[Average range hot-cold]]-10.9</f>
        <v>11.3344</v>
      </c>
      <c r="W168" s="14">
        <f>(700*Table1[[#This Row],[Tm]]/(100-Table1[[#This Row],[Decimal degree latitude]])+15*Table1[[#This Row],[T-Td]])/(80-Table1[[#This Row],[Average temperature (°C)]])*365</f>
        <v>2931.8221835966629</v>
      </c>
    </row>
    <row r="169" spans="1:23" x14ac:dyDescent="0.25">
      <c r="A169" s="2" t="s">
        <v>29</v>
      </c>
      <c r="B169" s="2" t="s">
        <v>114</v>
      </c>
      <c r="C169" s="2" t="s">
        <v>175</v>
      </c>
      <c r="D169" s="2" t="s">
        <v>71</v>
      </c>
      <c r="E169" s="2">
        <v>2017</v>
      </c>
      <c r="F169" s="2">
        <v>55</v>
      </c>
      <c r="G169" s="2">
        <v>2200</v>
      </c>
      <c r="H169" s="2">
        <f>Table1[[#This Row],[Reservoir capacity (million m3)]]/Table1[[#This Row],[Dam height (m)]]*2</f>
        <v>80</v>
      </c>
      <c r="I169" s="2">
        <v>320</v>
      </c>
      <c r="J169" s="2">
        <v>0.4</v>
      </c>
      <c r="K169" s="2">
        <v>1</v>
      </c>
      <c r="L16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69" s="2">
        <f>1000000/1000/9.81/IF(Table1[[#This Row],[Dam height (m)]]="",10,Table1[[#This Row],[Dam height (m)]])*3600</f>
        <v>6672.2268557130938</v>
      </c>
      <c r="N169" s="3">
        <f>(Table1[[#This Row],[Reservoir area (km2)]]*1000000*Table1[[#This Row],[Eo (mm/year)]]/1000)/Table1[[#This Row],[Hydroelectricity (MW)]]/8760*Table1[[#This Row],[Water consumption allocation]]/Table1[[#This Row],[CF]]</f>
        <v>212.76742201848171</v>
      </c>
      <c r="O169" s="2">
        <v>14.276667</v>
      </c>
      <c r="P169" s="2">
        <v>35.896943999999998</v>
      </c>
      <c r="Q169" s="12">
        <v>568</v>
      </c>
      <c r="R169" s="12">
        <v>27.9</v>
      </c>
      <c r="S169" s="12">
        <f t="shared" si="41"/>
        <v>14</v>
      </c>
      <c r="T169" s="12">
        <f t="shared" si="42"/>
        <v>9.1000000000000014</v>
      </c>
      <c r="U169" s="12">
        <f>Table1[[#This Row],[Average temperature (°C)]]+0.006*Table1[[#This Row],[Average Country Elevation]]</f>
        <v>31.308</v>
      </c>
      <c r="V169" s="12">
        <f>0.0023*Table1[[#This Row],[Average Country Elevation]]+0.37*Table1[[#This Row],[Average temperature (°C)]]+0.53*Table1[[#This Row],[Average Range]]+0.35*Table1[[#This Row],[Average range hot-cold]]-10.9</f>
        <v>11.3344</v>
      </c>
      <c r="W169" s="14">
        <f>(700*Table1[[#This Row],[Tm]]/(100-Table1[[#This Row],[Decimal degree latitude]])+15*Table1[[#This Row],[T-Td]])/(80-Table1[[#This Row],[Average temperature (°C)]])*365</f>
        <v>2982.1481870110401</v>
      </c>
    </row>
    <row r="170" spans="1:23" x14ac:dyDescent="0.25">
      <c r="A170" s="2" t="s">
        <v>29</v>
      </c>
      <c r="B170" s="2" t="s">
        <v>111</v>
      </c>
      <c r="C170" s="2" t="s">
        <v>102</v>
      </c>
      <c r="D170" s="2" t="s">
        <v>71</v>
      </c>
      <c r="E170" s="2">
        <v>1937</v>
      </c>
      <c r="F170" s="2">
        <v>22</v>
      </c>
      <c r="G170" s="2">
        <v>3500</v>
      </c>
      <c r="H170" s="2">
        <v>454.22</v>
      </c>
      <c r="I170" s="2">
        <v>28.8</v>
      </c>
      <c r="J170" s="2">
        <v>0.4</v>
      </c>
      <c r="K170" s="2">
        <v>3</v>
      </c>
      <c r="L17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70" s="2">
        <f>1000000/1000/9.81/IF(Table1[[#This Row],[Dam height (m)]]="",10,Table1[[#This Row],[Dam height (m)]])*3600</f>
        <v>16680.567139282735</v>
      </c>
      <c r="N170" s="3">
        <f>(Table1[[#This Row],[Reservoir area (km2)]]*1000000*Table1[[#This Row],[Eo (mm/year)]]/1000)/Table1[[#This Row],[Hydroelectricity (MW)]]/8760*Table1[[#This Row],[Water consumption allocation]]/Table1[[#This Row],[CF]]</f>
        <v>2310.9191374339944</v>
      </c>
      <c r="O170" s="2">
        <v>15.238490000000001</v>
      </c>
      <c r="P170" s="2">
        <v>32.485515999999997</v>
      </c>
      <c r="Q170" s="12">
        <v>568</v>
      </c>
      <c r="R170" s="12">
        <v>27.9</v>
      </c>
      <c r="S170" s="12">
        <f t="shared" si="41"/>
        <v>14</v>
      </c>
      <c r="T170" s="12">
        <f t="shared" si="42"/>
        <v>9.1000000000000014</v>
      </c>
      <c r="U170" s="12">
        <f>Table1[[#This Row],[Average temperature (°C)]]+0.006*Table1[[#This Row],[Average Country Elevation]]</f>
        <v>31.308</v>
      </c>
      <c r="V170" s="12">
        <f>0.0023*Table1[[#This Row],[Average Country Elevation]]+0.37*Table1[[#This Row],[Average temperature (°C)]]+0.53*Table1[[#This Row],[Average Range]]+0.35*Table1[[#This Row],[Average range hot-cold]]-10.9</f>
        <v>11.3344</v>
      </c>
      <c r="W170" s="14">
        <f>(700*Table1[[#This Row],[Tm]]/(100-Table1[[#This Row],[Decimal degree latitude]])+15*Table1[[#This Row],[T-Td]])/(80-Table1[[#This Row],[Average temperature (°C)]])*365</f>
        <v>3002.4720346759732</v>
      </c>
    </row>
    <row r="171" spans="1:23" x14ac:dyDescent="0.25">
      <c r="A171" s="2" t="s">
        <v>29</v>
      </c>
      <c r="B171" s="2" t="s">
        <v>110</v>
      </c>
      <c r="C171" s="2" t="s">
        <v>79</v>
      </c>
      <c r="D171" s="2" t="s">
        <v>71</v>
      </c>
      <c r="E171" s="2">
        <v>1925</v>
      </c>
      <c r="F171" s="2">
        <v>48</v>
      </c>
      <c r="G171" s="2">
        <v>930</v>
      </c>
      <c r="H171" s="2">
        <v>84.27</v>
      </c>
      <c r="I171" s="2">
        <v>15</v>
      </c>
      <c r="J171" s="2">
        <v>0.4</v>
      </c>
      <c r="K171" s="2">
        <v>2</v>
      </c>
      <c r="L17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71" s="2">
        <f>1000000/1000/9.81/IF(Table1[[#This Row],[Dam height (m)]]="",10,Table1[[#This Row],[Dam height (m)]])*3600</f>
        <v>7645.2599388379203</v>
      </c>
      <c r="N171" s="3">
        <f>(Table1[[#This Row],[Reservoir area (km2)]]*1000000*Table1[[#This Row],[Eo (mm/year)]]/1000)/Table1[[#This Row],[Hydroelectricity (MW)]]/8760*Table1[[#This Row],[Water consumption allocation]]/Table1[[#This Row],[CF]]</f>
        <v>2112.1496560013497</v>
      </c>
      <c r="O171" s="2">
        <v>13.547635</v>
      </c>
      <c r="P171" s="2">
        <v>33.635562999999998</v>
      </c>
      <c r="Q171" s="12">
        <v>568</v>
      </c>
      <c r="R171" s="12">
        <v>27.9</v>
      </c>
      <c r="S171" s="12">
        <f t="shared" si="41"/>
        <v>14</v>
      </c>
      <c r="T171" s="12">
        <f t="shared" si="42"/>
        <v>9.1000000000000014</v>
      </c>
      <c r="U171" s="12">
        <f>Table1[[#This Row],[Average temperature (°C)]]+0.006*Table1[[#This Row],[Average Country Elevation]]</f>
        <v>31.308</v>
      </c>
      <c r="V171" s="12">
        <f>0.0023*Table1[[#This Row],[Average Country Elevation]]+0.37*Table1[[#This Row],[Average temperature (°C)]]+0.53*Table1[[#This Row],[Average Range]]+0.35*Table1[[#This Row],[Average range hot-cold]]-10.9</f>
        <v>11.3344</v>
      </c>
      <c r="W171" s="14">
        <f>(700*Table1[[#This Row],[Tm]]/(100-Table1[[#This Row],[Decimal degree latitude]])+15*Table1[[#This Row],[T-Td]])/(80-Table1[[#This Row],[Average temperature (°C)]])*365</f>
        <v>2967.0446323708261</v>
      </c>
    </row>
    <row r="172" spans="1:23" x14ac:dyDescent="0.25">
      <c r="A172" s="2" t="s">
        <v>29</v>
      </c>
      <c r="B172" s="2" t="s">
        <v>112</v>
      </c>
      <c r="C172" s="2" t="s">
        <v>113</v>
      </c>
      <c r="D172" s="2" t="s">
        <v>71</v>
      </c>
      <c r="E172" s="2">
        <v>1964</v>
      </c>
      <c r="F172" s="2">
        <v>35</v>
      </c>
      <c r="G172" s="2">
        <v>1300</v>
      </c>
      <c r="H172" s="2">
        <v>116.34</v>
      </c>
      <c r="I172" s="2">
        <v>10</v>
      </c>
      <c r="J172" s="2">
        <v>0.4</v>
      </c>
      <c r="K172" s="2">
        <v>1</v>
      </c>
      <c r="L17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2" s="2">
        <f>1000000/1000/9.81/IF(Table1[[#This Row],[Dam height (m)]]="",10,Table1[[#This Row],[Dam height (m)]])*3600</f>
        <v>10484.927916120576</v>
      </c>
      <c r="N172" s="3">
        <f>(Table1[[#This Row],[Reservoir area (km2)]]*1000000*Table1[[#This Row],[Eo (mm/year)]]/1000)/Table1[[#This Row],[Hydroelectricity (MW)]]/8760*Table1[[#This Row],[Water consumption allocation]]/Table1[[#This Row],[CF]]</f>
        <v>9946.6733711227898</v>
      </c>
      <c r="O172" s="2">
        <v>14.925151</v>
      </c>
      <c r="P172" s="2">
        <v>35.907228000000003</v>
      </c>
      <c r="Q172" s="12">
        <v>568</v>
      </c>
      <c r="R172" s="12">
        <v>27.9</v>
      </c>
      <c r="S172" s="12">
        <f t="shared" si="41"/>
        <v>14</v>
      </c>
      <c r="T172" s="12">
        <f t="shared" si="42"/>
        <v>9.1000000000000014</v>
      </c>
      <c r="U172" s="12">
        <f>Table1[[#This Row],[Average temperature (°C)]]+0.006*Table1[[#This Row],[Average Country Elevation]]</f>
        <v>31.308</v>
      </c>
      <c r="V172" s="12">
        <f>0.0023*Table1[[#This Row],[Average Country Elevation]]+0.37*Table1[[#This Row],[Average temperature (°C)]]+0.53*Table1[[#This Row],[Average Range]]+0.35*Table1[[#This Row],[Average range hot-cold]]-10.9</f>
        <v>11.3344</v>
      </c>
      <c r="W172" s="14">
        <f>(700*Table1[[#This Row],[Tm]]/(100-Table1[[#This Row],[Decimal degree latitude]])+15*Table1[[#This Row],[T-Td]])/(80-Table1[[#This Row],[Average temperature (°C)]])*365</f>
        <v>2995.8005408642134</v>
      </c>
    </row>
    <row r="173" spans="1:23" x14ac:dyDescent="0.25">
      <c r="A173" s="2" t="s">
        <v>241</v>
      </c>
      <c r="B173" s="2" t="s">
        <v>281</v>
      </c>
      <c r="C173" s="2" t="s">
        <v>282</v>
      </c>
      <c r="D173" s="2" t="s">
        <v>255</v>
      </c>
      <c r="E173" s="2"/>
      <c r="F173" s="2">
        <v>20</v>
      </c>
      <c r="G173" s="2">
        <v>150</v>
      </c>
      <c r="H173" s="2">
        <v>8</v>
      </c>
      <c r="I173" s="2">
        <v>24</v>
      </c>
      <c r="J173" s="2">
        <v>0.49</v>
      </c>
      <c r="K173" s="2">
        <v>1</v>
      </c>
      <c r="L17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3" s="2">
        <f>1000000/1000/9.81/IF(Table1[[#This Row],[Dam height (m)]]="",10,Table1[[#This Row],[Dam height (m)]])*3600</f>
        <v>18348.623853211007</v>
      </c>
      <c r="N173" s="3">
        <f>(Table1[[#This Row],[Reservoir area (km2)]]*1000000*Table1[[#This Row],[Eo (mm/year)]]/1000)/Table1[[#This Row],[Hydroelectricity (MW)]]/8760*Table1[[#This Row],[Water consumption allocation]]/Table1[[#This Row],[CF]]</f>
        <v>92.401021743520005</v>
      </c>
      <c r="O173" s="2">
        <v>-26.376300000000001</v>
      </c>
      <c r="P173" s="2">
        <v>31.155200000000001</v>
      </c>
      <c r="Q173" s="12">
        <v>305</v>
      </c>
      <c r="R173" s="12">
        <v>19.7</v>
      </c>
      <c r="S173" s="12">
        <f>23.9-14.1</f>
        <v>9.7999999999999989</v>
      </c>
      <c r="T173" s="12">
        <f>23.3-15.1</f>
        <v>8.2000000000000011</v>
      </c>
      <c r="U173" s="12">
        <f>Table1[[#This Row],[Average temperature (°C)]]+0.006*Table1[[#This Row],[Average Country Elevation]]</f>
        <v>21.53</v>
      </c>
      <c r="V173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W173" s="14">
        <f>(700*Table1[[#This Row],[Tm]]/(100-Table1[[#This Row],[Decimal degree latitude]])+15*Table1[[#This Row],[T-Td]])/(80-Table1[[#This Row],[Average temperature (°C)]])*365</f>
        <v>1189.8664371956556</v>
      </c>
    </row>
    <row r="174" spans="1:23" x14ac:dyDescent="0.25">
      <c r="A174" s="2" t="s">
        <v>241</v>
      </c>
      <c r="B174" s="2" t="s">
        <v>377</v>
      </c>
      <c r="C174" s="2" t="s">
        <v>255</v>
      </c>
      <c r="D174" s="2" t="s">
        <v>378</v>
      </c>
      <c r="E174" s="2">
        <v>1984</v>
      </c>
      <c r="F174" s="2">
        <v>45</v>
      </c>
      <c r="G174" s="2">
        <v>24</v>
      </c>
      <c r="H174" s="2">
        <v>1.2</v>
      </c>
      <c r="I174" s="2">
        <v>20.8</v>
      </c>
      <c r="J174" s="2">
        <v>0.49</v>
      </c>
      <c r="K174" s="2">
        <v>1</v>
      </c>
      <c r="L17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4" s="2">
        <f>1000000/1000/9.81/IF(Table1[[#This Row],[Dam height (m)]]="",10,Table1[[#This Row],[Dam height (m)]])*3600</f>
        <v>8154.9439347604484</v>
      </c>
      <c r="N174" s="3">
        <f>(Table1[[#This Row],[Reservoir area (km2)]]*1000000*Table1[[#This Row],[Eo (mm/year)]]/1000)/Table1[[#This Row],[Hydroelectricity (MW)]]/8760*Table1[[#This Row],[Water consumption allocation]]/Table1[[#This Row],[CF]]</f>
        <v>15.995784300621544</v>
      </c>
      <c r="O174" s="2">
        <v>-26.333333333333332</v>
      </c>
      <c r="P174" s="2">
        <v>30.98</v>
      </c>
      <c r="Q174" s="12">
        <v>305</v>
      </c>
      <c r="R174" s="12">
        <v>19.7</v>
      </c>
      <c r="S174" s="12">
        <f t="shared" ref="S174:S177" si="43">23.9-14.1</f>
        <v>9.7999999999999989</v>
      </c>
      <c r="T174" s="12">
        <f t="shared" ref="T174:T177" si="44">23.3-15.1</f>
        <v>8.2000000000000011</v>
      </c>
      <c r="U174" s="12">
        <f>Table1[[#This Row],[Average temperature (°C)]]+0.006*Table1[[#This Row],[Average Country Elevation]]</f>
        <v>21.53</v>
      </c>
      <c r="V174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W174" s="14">
        <f>(700*Table1[[#This Row],[Tm]]/(100-Table1[[#This Row],[Decimal degree latitude]])+15*Table1[[#This Row],[T-Td]])/(80-Table1[[#This Row],[Average temperature (°C)]])*365</f>
        <v>1190.111945221124</v>
      </c>
    </row>
    <row r="175" spans="1:23" x14ac:dyDescent="0.25">
      <c r="A175" s="2" t="s">
        <v>241</v>
      </c>
      <c r="B175" s="2" t="s">
        <v>279</v>
      </c>
      <c r="C175" s="2" t="s">
        <v>280</v>
      </c>
      <c r="D175" s="2" t="s">
        <v>255</v>
      </c>
      <c r="E175" s="2">
        <v>2001</v>
      </c>
      <c r="F175" s="2">
        <v>115</v>
      </c>
      <c r="G175" s="2">
        <v>332</v>
      </c>
      <c r="H175" s="2">
        <v>10.42</v>
      </c>
      <c r="I175" s="2">
        <v>20</v>
      </c>
      <c r="J175" s="2">
        <v>0.49</v>
      </c>
      <c r="K175" s="2">
        <v>3</v>
      </c>
      <c r="L17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75" s="2">
        <f>1000000/1000/9.81/IF(Table1[[#This Row],[Dam height (m)]]="",10,Table1[[#This Row],[Dam height (m)]])*3600</f>
        <v>3191.0650179497406</v>
      </c>
      <c r="N175" s="3">
        <f>(Table1[[#This Row],[Reservoir area (km2)]]*1000000*Table1[[#This Row],[Eo (mm/year)]]/1000)/Table1[[#This Row],[Hydroelectricity (MW)]]/8760*Table1[[#This Row],[Water consumption allocation]]/Table1[[#This Row],[CF]]</f>
        <v>24.731971925875179</v>
      </c>
      <c r="O175" s="2">
        <v>-26.076111111111111</v>
      </c>
      <c r="P175" s="2">
        <v>31.259722222222223</v>
      </c>
      <c r="Q175" s="12">
        <v>305</v>
      </c>
      <c r="R175" s="12">
        <v>19.7</v>
      </c>
      <c r="S175" s="12">
        <f t="shared" si="43"/>
        <v>9.7999999999999989</v>
      </c>
      <c r="T175" s="12">
        <f t="shared" si="44"/>
        <v>8.2000000000000011</v>
      </c>
      <c r="U175" s="12">
        <f>Table1[[#This Row],[Average temperature (°C)]]+0.006*Table1[[#This Row],[Average Country Elevation]]</f>
        <v>21.53</v>
      </c>
      <c r="V175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W175" s="14">
        <f>(700*Table1[[#This Row],[Tm]]/(100-Table1[[#This Row],[Decimal degree latitude]])+15*Table1[[#This Row],[T-Td]])/(80-Table1[[#This Row],[Average temperature (°C)]])*365</f>
        <v>1191.5851914854095</v>
      </c>
    </row>
    <row r="176" spans="1:23" x14ac:dyDescent="0.25">
      <c r="A176" s="2" t="s">
        <v>241</v>
      </c>
      <c r="B176" s="2" t="s">
        <v>283</v>
      </c>
      <c r="C176" s="2" t="s">
        <v>280</v>
      </c>
      <c r="D176" s="2" t="s">
        <v>255</v>
      </c>
      <c r="E176" s="2">
        <v>1966</v>
      </c>
      <c r="F176" s="2">
        <v>25</v>
      </c>
      <c r="G176" s="2">
        <v>50.33</v>
      </c>
      <c r="H176" s="2">
        <v>6.98</v>
      </c>
      <c r="I176" s="2">
        <v>15</v>
      </c>
      <c r="J176" s="2">
        <v>0.49</v>
      </c>
      <c r="K176" s="2">
        <v>1</v>
      </c>
      <c r="L17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6" s="2">
        <f>1000000/1000/9.81/IF(Table1[[#This Row],[Dam height (m)]]="",10,Table1[[#This Row],[Dam height (m)]])*3600</f>
        <v>14678.899082568807</v>
      </c>
      <c r="N176" s="3">
        <f>(Table1[[#This Row],[Reservoir area (km2)]]*1000000*Table1[[#This Row],[Eo (mm/year)]]/1000)/Table1[[#This Row],[Hydroelectricity (MW)]]/8760*Table1[[#This Row],[Water consumption allocation]]/Table1[[#This Row],[CF]]</f>
        <v>129.23730586781531</v>
      </c>
      <c r="O176" s="2">
        <v>-25.981111111111108</v>
      </c>
      <c r="P176" s="2">
        <v>31.713333333333331</v>
      </c>
      <c r="Q176" s="12">
        <v>305</v>
      </c>
      <c r="R176" s="12">
        <v>19.7</v>
      </c>
      <c r="S176" s="12">
        <f t="shared" si="43"/>
        <v>9.7999999999999989</v>
      </c>
      <c r="T176" s="12">
        <f t="shared" si="44"/>
        <v>8.2000000000000011</v>
      </c>
      <c r="U176" s="12">
        <f>Table1[[#This Row],[Average temperature (°C)]]+0.006*Table1[[#This Row],[Average Country Elevation]]</f>
        <v>21.53</v>
      </c>
      <c r="V176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W176" s="14">
        <f>(700*Table1[[#This Row],[Tm]]/(100-Table1[[#This Row],[Decimal degree latitude]])+15*Table1[[#This Row],[T-Td]])/(80-Table1[[#This Row],[Average temperature (°C)]])*365</f>
        <v>1192.1308274505955</v>
      </c>
    </row>
    <row r="177" spans="1:23" x14ac:dyDescent="0.25">
      <c r="A177" s="2" t="s">
        <v>241</v>
      </c>
      <c r="B177" s="2" t="s">
        <v>379</v>
      </c>
      <c r="C177" s="2" t="s">
        <v>284</v>
      </c>
      <c r="D177" s="2" t="s">
        <v>255</v>
      </c>
      <c r="E177" s="2">
        <v>1970</v>
      </c>
      <c r="F177" s="2">
        <v>21</v>
      </c>
      <c r="G177" s="2">
        <v>6.78</v>
      </c>
      <c r="H177" s="2">
        <v>1.3680000000000001</v>
      </c>
      <c r="I177" s="2">
        <v>8.69</v>
      </c>
      <c r="J177" s="2">
        <v>0.49</v>
      </c>
      <c r="K177" s="2">
        <v>1</v>
      </c>
      <c r="L17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77" s="2">
        <f>1000000/1000/9.81/IF(Table1[[#This Row],[Dam height (m)]]="",10,Table1[[#This Row],[Dam height (m)]])*3600</f>
        <v>17474.879860200959</v>
      </c>
      <c r="N177" s="3">
        <f>(Table1[[#This Row],[Reservoir area (km2)]]*1000000*Table1[[#This Row],[Eo (mm/year)]]/1000)/Table1[[#This Row],[Hydroelectricity (MW)]]/8760*Table1[[#This Row],[Water consumption allocation]]/Table1[[#This Row],[CF]]</f>
        <v>43.58421560839863</v>
      </c>
      <c r="O177" s="2">
        <v>-26.633333333333333</v>
      </c>
      <c r="P177" s="2">
        <v>31.956666666666667</v>
      </c>
      <c r="Q177" s="12">
        <v>305</v>
      </c>
      <c r="R177" s="12">
        <v>19.7</v>
      </c>
      <c r="S177" s="12">
        <f t="shared" si="43"/>
        <v>9.7999999999999989</v>
      </c>
      <c r="T177" s="12">
        <f t="shared" si="44"/>
        <v>8.2000000000000011</v>
      </c>
      <c r="U177" s="12">
        <f>Table1[[#This Row],[Average temperature (°C)]]+0.006*Table1[[#This Row],[Average Country Elevation]]</f>
        <v>21.53</v>
      </c>
      <c r="V177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W177" s="14">
        <f>(700*Table1[[#This Row],[Tm]]/(100-Table1[[#This Row],[Decimal degree latitude]])+15*Table1[[#This Row],[T-Td]])/(80-Table1[[#This Row],[Average temperature (°C)]])*365</f>
        <v>1188.4012490521859</v>
      </c>
    </row>
    <row r="178" spans="1:23" x14ac:dyDescent="0.25">
      <c r="A178" s="2" t="s">
        <v>344</v>
      </c>
      <c r="B178" s="2" t="s">
        <v>299</v>
      </c>
      <c r="C178" s="2"/>
      <c r="D178" s="2"/>
      <c r="E178" s="2">
        <v>1987</v>
      </c>
      <c r="F178" s="2">
        <v>52</v>
      </c>
      <c r="G178" s="2">
        <v>1710</v>
      </c>
      <c r="H178" s="2">
        <f>Table1[[#This Row],[Reservoir capacity (million m3)]]/Table1[[#This Row],[Dam height (m)]]*2</f>
        <v>65.769230769230774</v>
      </c>
      <c r="I178" s="2">
        <v>32.799999999999997</v>
      </c>
      <c r="J178" s="2">
        <v>0.44</v>
      </c>
      <c r="K178" s="2">
        <v>3</v>
      </c>
      <c r="L17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78" s="2">
        <f>1000000/1000/9.81/IF(Table1[[#This Row],[Dam height (m)]]="",10,Table1[[#This Row],[Dam height (m)]])*3600</f>
        <v>7057.1630204657722</v>
      </c>
      <c r="N178" s="3">
        <f>(Table1[[#This Row],[Reservoir area (km2)]]*1000000*Table1[[#This Row],[Eo (mm/year)]]/1000)/Table1[[#This Row],[Hydroelectricity (MW)]]/8760*Table1[[#This Row],[Water consumption allocation]]/Table1[[#This Row],[CF]]</f>
        <v>178.99323677145222</v>
      </c>
      <c r="O178" s="2">
        <v>7.3628</v>
      </c>
      <c r="P178" s="2">
        <v>2.6114000000000002</v>
      </c>
      <c r="Q178" s="12">
        <v>236</v>
      </c>
      <c r="R178" s="12">
        <v>26.4</v>
      </c>
      <c r="S178" s="12">
        <f>31.3-22.3</f>
        <v>9</v>
      </c>
      <c r="T178" s="12">
        <f>28.8-24.5</f>
        <v>4.3000000000000007</v>
      </c>
      <c r="U178" s="12">
        <f>Table1[[#This Row],[Average temperature (°C)]]+0.006*Table1[[#This Row],[Average Country Elevation]]</f>
        <v>27.815999999999999</v>
      </c>
      <c r="V178" s="12">
        <f>0.0023*Table1[[#This Row],[Average Country Elevation]]+0.37*Table1[[#This Row],[Average temperature (°C)]]+0.53*Table1[[#This Row],[Average Range]]+0.35*Table1[[#This Row],[Average range hot-cold]]-10.9</f>
        <v>5.6857999999999986</v>
      </c>
      <c r="W178" s="14">
        <f>(700*Table1[[#This Row],[Tm]]/(100-Table1[[#This Row],[Decimal degree latitude]])+15*Table1[[#This Row],[T-Td]])/(80-Table1[[#This Row],[Average temperature (°C)]])*365</f>
        <v>2012.094505417652</v>
      </c>
    </row>
    <row r="179" spans="1:23" x14ac:dyDescent="0.25">
      <c r="A179" s="2" t="s">
        <v>32</v>
      </c>
      <c r="B179" s="2" t="s">
        <v>165</v>
      </c>
      <c r="C179" s="2" t="s">
        <v>223</v>
      </c>
      <c r="D179" s="2" t="s">
        <v>4</v>
      </c>
      <c r="E179" s="2">
        <v>1981</v>
      </c>
      <c r="F179" s="2">
        <v>70</v>
      </c>
      <c r="G179" s="2">
        <v>555</v>
      </c>
      <c r="H179" s="2">
        <v>29.04</v>
      </c>
      <c r="I179" s="2">
        <v>33</v>
      </c>
      <c r="J179" s="2">
        <v>0.12</v>
      </c>
      <c r="K179" s="2">
        <v>4</v>
      </c>
      <c r="L17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0.13</v>
      </c>
      <c r="M179" s="2">
        <f>1000000/1000/9.81/IF(Table1[[#This Row],[Dam height (m)]]="",10,Table1[[#This Row],[Dam height (m)]])*3600</f>
        <v>5242.463958060288</v>
      </c>
      <c r="N179" s="3">
        <f>(Table1[[#This Row],[Reservoir area (km2)]]*1000000*Table1[[#This Row],[Eo (mm/year)]]/1000)/Table1[[#This Row],[Hydroelectricity (MW)]]/8760*Table1[[#This Row],[Water consumption allocation]]/Table1[[#This Row],[CF]]</f>
        <v>211.90323647517218</v>
      </c>
      <c r="O179" s="2">
        <v>36.590555555555561</v>
      </c>
      <c r="P179" s="2">
        <v>9.3977777777777778</v>
      </c>
      <c r="Q179" s="12">
        <v>246</v>
      </c>
      <c r="R179" s="12">
        <v>18.3</v>
      </c>
      <c r="S179" s="12">
        <f>22.9-13</f>
        <v>9.8999999999999986</v>
      </c>
      <c r="T179" s="12">
        <f>27-10.7</f>
        <v>16.3</v>
      </c>
      <c r="U179" s="12">
        <f>Table1[[#This Row],[Average temperature (°C)]]+0.006*Table1[[#This Row],[Average Country Elevation]]</f>
        <v>19.776</v>
      </c>
      <c r="V179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79" s="14">
        <f>(700*Table1[[#This Row],[Tm]]/(100-Table1[[#This Row],[Decimal degree latitude]])+15*Table1[[#This Row],[T-Td]])/(80-Table1[[#This Row],[Average temperature (°C)]])*365</f>
        <v>1947.1388302683652</v>
      </c>
    </row>
    <row r="180" spans="1:23" x14ac:dyDescent="0.25">
      <c r="A180" s="2" t="s">
        <v>32</v>
      </c>
      <c r="B180" s="2" t="s">
        <v>166</v>
      </c>
      <c r="C180" s="2" t="s">
        <v>221</v>
      </c>
      <c r="D180" s="2" t="s">
        <v>4</v>
      </c>
      <c r="E180" s="2">
        <v>1956</v>
      </c>
      <c r="F180" s="2">
        <v>72</v>
      </c>
      <c r="G180" s="2"/>
      <c r="H180" s="2">
        <v>4.29</v>
      </c>
      <c r="I180" s="2">
        <v>13.2</v>
      </c>
      <c r="J180" s="2">
        <v>0.12</v>
      </c>
      <c r="K180" s="2">
        <v>3</v>
      </c>
      <c r="L18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80" s="2">
        <f>1000000/1000/9.81/IF(Table1[[#This Row],[Dam height (m)]]="",10,Table1[[#This Row],[Dam height (m)]])*3600</f>
        <v>5096.8399592252799</v>
      </c>
      <c r="N180" s="3">
        <f>(Table1[[#This Row],[Reservoir area (km2)]]*1000000*Table1[[#This Row],[Eo (mm/year)]]/1000)/Table1[[#This Row],[Hydroelectricity (MW)]]/8760*Table1[[#This Row],[Water consumption allocation]]/Table1[[#This Row],[CF]]</f>
        <v>102.64555737816278</v>
      </c>
      <c r="O180" s="2">
        <v>36.314399999999999</v>
      </c>
      <c r="P180" s="2">
        <v>8.7026000000000003</v>
      </c>
      <c r="Q180" s="12">
        <v>246</v>
      </c>
      <c r="R180" s="12">
        <v>18.3</v>
      </c>
      <c r="S180" s="12">
        <f t="shared" ref="S180:S184" si="45">22.9-13</f>
        <v>9.8999999999999986</v>
      </c>
      <c r="T180" s="12">
        <f t="shared" ref="T180:T184" si="46">27-10.7</f>
        <v>16.3</v>
      </c>
      <c r="U180" s="12">
        <f>Table1[[#This Row],[Average temperature (°C)]]+0.006*Table1[[#This Row],[Average Country Elevation]]</f>
        <v>19.776</v>
      </c>
      <c r="V180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80" s="14">
        <f>(700*Table1[[#This Row],[Tm]]/(100-Table1[[#This Row],[Decimal degree latitude]])+15*Table1[[#This Row],[T-Td]])/(80-Table1[[#This Row],[Average temperature (°C)]])*365</f>
        <v>1941.5386399626577</v>
      </c>
    </row>
    <row r="181" spans="1:23" x14ac:dyDescent="0.25">
      <c r="A181" s="2" t="s">
        <v>32</v>
      </c>
      <c r="B181" s="2" t="s">
        <v>190</v>
      </c>
      <c r="C181" s="2" t="s">
        <v>224</v>
      </c>
      <c r="D181" s="2" t="s">
        <v>4</v>
      </c>
      <c r="E181" s="2"/>
      <c r="F181" s="2">
        <v>5</v>
      </c>
      <c r="G181" s="2"/>
      <c r="H181" s="2">
        <v>5.77</v>
      </c>
      <c r="I181" s="2">
        <v>9.6999999999999993</v>
      </c>
      <c r="J181" s="2">
        <v>0.12</v>
      </c>
      <c r="K181" s="2">
        <v>3</v>
      </c>
      <c r="L18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M181" s="2">
        <f>1000000/1000/9.81/IF(Table1[[#This Row],[Dam height (m)]]="",10,Table1[[#This Row],[Dam height (m)]])*3600</f>
        <v>73394.495412844029</v>
      </c>
      <c r="N181" s="3">
        <f>(Table1[[#This Row],[Reservoir area (km2)]]*1000000*Table1[[#This Row],[Eo (mm/year)]]/1000)/Table1[[#This Row],[Hydroelectricity (MW)]]/8760*Table1[[#This Row],[Water consumption allocation]]/Table1[[#This Row],[CF]]</f>
        <v>188.57445421757976</v>
      </c>
      <c r="O181" s="2">
        <v>36.672176</v>
      </c>
      <c r="P181" s="2">
        <v>8.7883800000000001</v>
      </c>
      <c r="Q181" s="12">
        <v>246</v>
      </c>
      <c r="R181" s="12">
        <v>18.3</v>
      </c>
      <c r="S181" s="12">
        <f t="shared" si="45"/>
        <v>9.8999999999999986</v>
      </c>
      <c r="T181" s="12">
        <f t="shared" si="46"/>
        <v>16.3</v>
      </c>
      <c r="U181" s="12">
        <f>Table1[[#This Row],[Average temperature (°C)]]+0.006*Table1[[#This Row],[Average Country Elevation]]</f>
        <v>19.776</v>
      </c>
      <c r="V181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81" s="14">
        <f>(700*Table1[[#This Row],[Tm]]/(100-Table1[[#This Row],[Decimal degree latitude]])+15*Table1[[#This Row],[T-Td]])/(80-Table1[[#This Row],[Average temperature (°C)]])*365</f>
        <v>1948.8033717992262</v>
      </c>
    </row>
    <row r="182" spans="1:23" x14ac:dyDescent="0.25">
      <c r="A182" s="2" t="s">
        <v>32</v>
      </c>
      <c r="B182" s="2" t="s">
        <v>167</v>
      </c>
      <c r="C182" s="2" t="s">
        <v>220</v>
      </c>
      <c r="D182" s="2" t="s">
        <v>4</v>
      </c>
      <c r="E182" s="2">
        <v>1956</v>
      </c>
      <c r="F182" s="2">
        <v>26</v>
      </c>
      <c r="G182" s="2"/>
      <c r="H182" s="2"/>
      <c r="I182" s="2">
        <v>3.8</v>
      </c>
      <c r="J182" s="2">
        <v>0.12</v>
      </c>
      <c r="K182" s="2">
        <v>2</v>
      </c>
      <c r="L18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82" s="2">
        <f>1000000/1000/9.81/IF(Table1[[#This Row],[Dam height (m)]]="",10,Table1[[#This Row],[Dam height (m)]])*3600</f>
        <v>14114.326040931544</v>
      </c>
      <c r="N18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2" s="2">
        <v>36.799599999999998</v>
      </c>
      <c r="P182" s="2">
        <v>9.7726000000000006</v>
      </c>
      <c r="Q182" s="12">
        <v>246</v>
      </c>
      <c r="R182" s="12">
        <v>18.3</v>
      </c>
      <c r="S182" s="12">
        <f t="shared" si="45"/>
        <v>9.8999999999999986</v>
      </c>
      <c r="T182" s="12">
        <f t="shared" si="46"/>
        <v>16.3</v>
      </c>
      <c r="U182" s="12">
        <f>Table1[[#This Row],[Average temperature (°C)]]+0.006*Table1[[#This Row],[Average Country Elevation]]</f>
        <v>19.776</v>
      </c>
      <c r="V182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82" s="14">
        <f>(700*Table1[[#This Row],[Tm]]/(100-Table1[[#This Row],[Decimal degree latitude]])+15*Table1[[#This Row],[T-Td]])/(80-Table1[[#This Row],[Average temperature (°C)]])*365</f>
        <v>1951.41061194892</v>
      </c>
    </row>
    <row r="183" spans="1:23" x14ac:dyDescent="0.25">
      <c r="A183" s="2" t="s">
        <v>32</v>
      </c>
      <c r="B183" s="2" t="s">
        <v>168</v>
      </c>
      <c r="C183" s="2" t="s">
        <v>168</v>
      </c>
      <c r="D183" s="2" t="s">
        <v>4</v>
      </c>
      <c r="E183" s="2">
        <v>1969</v>
      </c>
      <c r="F183" s="2">
        <v>57</v>
      </c>
      <c r="G183" s="2"/>
      <c r="H183" s="2"/>
      <c r="I183" s="2">
        <v>0.82499999999999996</v>
      </c>
      <c r="J183" s="2">
        <v>0.12</v>
      </c>
      <c r="K183" s="2">
        <v>2</v>
      </c>
      <c r="L18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183" s="2">
        <f>1000000/1000/9.81/IF(Table1[[#This Row],[Dam height (m)]]="",10,Table1[[#This Row],[Dam height (m)]])*3600</f>
        <v>6438.1136327056174</v>
      </c>
      <c r="N18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3" s="2">
        <v>36.761099999999999</v>
      </c>
      <c r="P183" s="2">
        <v>9.0023999999999997</v>
      </c>
      <c r="Q183" s="12">
        <v>246</v>
      </c>
      <c r="R183" s="12">
        <v>18.3</v>
      </c>
      <c r="S183" s="12">
        <f t="shared" si="45"/>
        <v>9.8999999999999986</v>
      </c>
      <c r="T183" s="12">
        <f t="shared" si="46"/>
        <v>16.3</v>
      </c>
      <c r="U183" s="12">
        <f>Table1[[#This Row],[Average temperature (°C)]]+0.006*Table1[[#This Row],[Average Country Elevation]]</f>
        <v>19.776</v>
      </c>
      <c r="V183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83" s="14">
        <f>(700*Table1[[#This Row],[Tm]]/(100-Table1[[#This Row],[Decimal degree latitude]])+15*Table1[[#This Row],[T-Td]])/(80-Table1[[#This Row],[Average temperature (°C)]])*365</f>
        <v>1950.621750397549</v>
      </c>
    </row>
    <row r="184" spans="1:23" x14ac:dyDescent="0.25">
      <c r="A184" s="2" t="s">
        <v>32</v>
      </c>
      <c r="B184" s="2" t="s">
        <v>380</v>
      </c>
      <c r="C184" s="2" t="s">
        <v>222</v>
      </c>
      <c r="D184" s="2" t="s">
        <v>4</v>
      </c>
      <c r="E184" s="2"/>
      <c r="F184" s="2">
        <v>59</v>
      </c>
      <c r="G184" s="2"/>
      <c r="H184" s="2"/>
      <c r="I184" s="2">
        <v>1.8</v>
      </c>
      <c r="J184" s="2">
        <v>0.12</v>
      </c>
      <c r="K184" s="2">
        <v>1</v>
      </c>
      <c r="L18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4" s="2">
        <f>1000000/1000/9.81/IF(Table1[[#This Row],[Dam height (m)]]="",10,Table1[[#This Row],[Dam height (m)]])*3600</f>
        <v>6219.8724926139012</v>
      </c>
      <c r="N18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4" s="2">
        <v>37.1813</v>
      </c>
      <c r="P184" s="2">
        <v>9.4757999999999996</v>
      </c>
      <c r="Q184" s="12">
        <v>246</v>
      </c>
      <c r="R184" s="12">
        <v>18.3</v>
      </c>
      <c r="S184" s="12">
        <f t="shared" si="45"/>
        <v>9.8999999999999986</v>
      </c>
      <c r="T184" s="12">
        <f t="shared" si="46"/>
        <v>16.3</v>
      </c>
      <c r="U184" s="12">
        <f>Table1[[#This Row],[Average temperature (°C)]]+0.006*Table1[[#This Row],[Average Country Elevation]]</f>
        <v>19.776</v>
      </c>
      <c r="V184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W184" s="14">
        <f>(700*Table1[[#This Row],[Tm]]/(100-Table1[[#This Row],[Decimal degree latitude]])+15*Table1[[#This Row],[T-Td]])/(80-Table1[[#This Row],[Average temperature (°C)]])*365</f>
        <v>1959.283926130875</v>
      </c>
    </row>
    <row r="185" spans="1:23" x14ac:dyDescent="0.25">
      <c r="A185" s="2" t="s">
        <v>30</v>
      </c>
      <c r="B185" s="2" t="s">
        <v>127</v>
      </c>
      <c r="C185" s="2" t="s">
        <v>206</v>
      </c>
      <c r="D185" s="2" t="s">
        <v>71</v>
      </c>
      <c r="E185" s="2">
        <v>2012</v>
      </c>
      <c r="F185" s="2">
        <v>5</v>
      </c>
      <c r="G185" s="2">
        <v>0.75</v>
      </c>
      <c r="H185" s="2">
        <v>0.67</v>
      </c>
      <c r="I185" s="2">
        <v>255</v>
      </c>
      <c r="J185" s="2">
        <v>0.51</v>
      </c>
      <c r="K185" s="2">
        <v>1</v>
      </c>
      <c r="L18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5" s="2">
        <f>1000000/1000/9.81/IF(Table1[[#This Row],[Dam height (m)]]="",10,Table1[[#This Row],[Dam height (m)]])*3600</f>
        <v>73394.495412844029</v>
      </c>
      <c r="N185" s="3">
        <f>(Table1[[#This Row],[Reservoir area (km2)]]*1000000*Table1[[#This Row],[Eo (mm/year)]]/1000)/Table1[[#This Row],[Hydroelectricity (MW)]]/8760*Table1[[#This Row],[Water consumption allocation]]/Table1[[#This Row],[CF]]</f>
        <v>1.0736909059788151</v>
      </c>
      <c r="O185" s="2">
        <v>0.49833300000000003</v>
      </c>
      <c r="P185" s="2">
        <v>33.137500000000003</v>
      </c>
      <c r="Q185" s="12">
        <v>1100</v>
      </c>
      <c r="R185" s="12">
        <v>21.5</v>
      </c>
      <c r="S185" s="12">
        <f>27-15.4</f>
        <v>11.6</v>
      </c>
      <c r="T185" s="12">
        <f>22.3-20.6</f>
        <v>1.6999999999999993</v>
      </c>
      <c r="U185" s="12">
        <f>Table1[[#This Row],[Average temperature (°C)]]+0.006*Table1[[#This Row],[Average Country Elevation]]</f>
        <v>28.1</v>
      </c>
      <c r="V185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85" s="14">
        <f>(700*Table1[[#This Row],[Tm]]/(100-Table1[[#This Row],[Decimal degree latitude]])+15*Table1[[#This Row],[T-Td]])/(80-Table1[[#This Row],[Average temperature (°C)]])*365</f>
        <v>1825.6559408141695</v>
      </c>
    </row>
    <row r="186" spans="1:23" x14ac:dyDescent="0.25">
      <c r="A186" s="2" t="s">
        <v>30</v>
      </c>
      <c r="B186" s="2" t="s">
        <v>131</v>
      </c>
      <c r="C186" s="2" t="s">
        <v>206</v>
      </c>
      <c r="D186" s="2" t="s">
        <v>71</v>
      </c>
      <c r="E186" s="2">
        <v>2003</v>
      </c>
      <c r="F186" s="2">
        <v>5</v>
      </c>
      <c r="G186" s="2"/>
      <c r="H186" s="2"/>
      <c r="I186" s="2">
        <v>205</v>
      </c>
      <c r="J186" s="2">
        <v>0.51</v>
      </c>
      <c r="K186" s="2">
        <v>1</v>
      </c>
      <c r="L18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6" s="2">
        <f>1000000/1000/9.81/IF(Table1[[#This Row],[Dam height (m)]]="",10,Table1[[#This Row],[Dam height (m)]])*3600</f>
        <v>73394.495412844029</v>
      </c>
      <c r="N18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6" s="2">
        <v>0.45027800000000001</v>
      </c>
      <c r="P186" s="2">
        <v>33.185555999999998</v>
      </c>
      <c r="Q186" s="12">
        <v>1100</v>
      </c>
      <c r="R186" s="12">
        <v>21.5</v>
      </c>
      <c r="S186" s="12">
        <f t="shared" ref="S186:S199" si="47">27-15.4</f>
        <v>11.6</v>
      </c>
      <c r="T186" s="12">
        <f t="shared" ref="T186:T199" si="48">22.3-20.6</f>
        <v>1.6999999999999993</v>
      </c>
      <c r="U186" s="12">
        <f>Table1[[#This Row],[Average temperature (°C)]]+0.006*Table1[[#This Row],[Average Country Elevation]]</f>
        <v>28.1</v>
      </c>
      <c r="V186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86" s="14">
        <f>(700*Table1[[#This Row],[Tm]]/(100-Table1[[#This Row],[Decimal degree latitude]])+15*Table1[[#This Row],[T-Td]])/(80-Table1[[#This Row],[Average temperature (°C)]])*365</f>
        <v>1825.060539852783</v>
      </c>
    </row>
    <row r="187" spans="1:23" x14ac:dyDescent="0.25">
      <c r="A187" s="2" t="s">
        <v>30</v>
      </c>
      <c r="B187" s="2" t="s">
        <v>136</v>
      </c>
      <c r="C187" s="2" t="s">
        <v>206</v>
      </c>
      <c r="D187" s="2" t="s">
        <v>71</v>
      </c>
      <c r="E187" s="2">
        <v>1954</v>
      </c>
      <c r="F187" s="2">
        <v>30</v>
      </c>
      <c r="G187" s="2">
        <v>80000</v>
      </c>
      <c r="H187" s="2">
        <v>26560</v>
      </c>
      <c r="I187" s="2">
        <v>180</v>
      </c>
      <c r="J187" s="2">
        <v>0.51</v>
      </c>
      <c r="K187" s="2">
        <v>3</v>
      </c>
      <c r="L18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M187" s="2">
        <f>1000000/1000/9.81/IF(Table1[[#This Row],[Dam height (m)]]="",10,Table1[[#This Row],[Dam height (m)]])*3600</f>
        <v>12232.415902140672</v>
      </c>
      <c r="N187" s="3">
        <f>(Table1[[#This Row],[Reservoir area (km2)]]*1000000*Table1[[#This Row],[Eo (mm/year)]]/1000)/Table1[[#This Row],[Hydroelectricity (MW)]]/8760*Table1[[#This Row],[Water consumption allocation]]/Table1[[#This Row],[CF]]</f>
        <v>15912.574372407753</v>
      </c>
      <c r="O187" s="2">
        <v>0.442799</v>
      </c>
      <c r="P187" s="2">
        <v>33.18609</v>
      </c>
      <c r="Q187" s="12">
        <v>1100</v>
      </c>
      <c r="R187" s="12">
        <v>21.5</v>
      </c>
      <c r="S187" s="12">
        <f t="shared" si="47"/>
        <v>11.6</v>
      </c>
      <c r="T187" s="12">
        <f t="shared" si="48"/>
        <v>1.6999999999999993</v>
      </c>
      <c r="U187" s="12">
        <f>Table1[[#This Row],[Average temperature (°C)]]+0.006*Table1[[#This Row],[Average Country Elevation]]</f>
        <v>28.1</v>
      </c>
      <c r="V187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87" s="14">
        <f>(700*Table1[[#This Row],[Tm]]/(100-Table1[[#This Row],[Decimal degree latitude]])+15*Table1[[#This Row],[T-Td]])/(80-Table1[[#This Row],[Average temperature (°C)]])*365</f>
        <v>1824.9679268081413</v>
      </c>
    </row>
    <row r="188" spans="1:23" x14ac:dyDescent="0.25">
      <c r="A188" s="2" t="s">
        <v>30</v>
      </c>
      <c r="B188" s="2" t="s">
        <v>132</v>
      </c>
      <c r="C188" s="2" t="s">
        <v>132</v>
      </c>
      <c r="D188" s="2" t="s">
        <v>71</v>
      </c>
      <c r="E188" s="2">
        <v>2011</v>
      </c>
      <c r="F188" s="2">
        <v>5</v>
      </c>
      <c r="G188" s="2"/>
      <c r="H188" s="2"/>
      <c r="I188" s="2">
        <v>18.600000000000001</v>
      </c>
      <c r="J188" s="2">
        <v>0.51</v>
      </c>
      <c r="K188" s="2">
        <v>1</v>
      </c>
      <c r="L18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8" s="2">
        <f>1000000/1000/9.81/IF(Table1[[#This Row],[Dam height (m)]]="",10,Table1[[#This Row],[Dam height (m)]])*3600</f>
        <v>73394.495412844029</v>
      </c>
      <c r="N18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8" s="2">
        <v>8.1000000000000003E-2</v>
      </c>
      <c r="P188" s="2">
        <v>30.381</v>
      </c>
      <c r="Q188" s="12">
        <v>1100</v>
      </c>
      <c r="R188" s="12">
        <v>21.5</v>
      </c>
      <c r="S188" s="12">
        <f t="shared" si="47"/>
        <v>11.6</v>
      </c>
      <c r="T188" s="12">
        <f t="shared" si="48"/>
        <v>1.6999999999999993</v>
      </c>
      <c r="U188" s="12">
        <f>Table1[[#This Row],[Average temperature (°C)]]+0.006*Table1[[#This Row],[Average Country Elevation]]</f>
        <v>28.1</v>
      </c>
      <c r="V188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88" s="14">
        <f>(700*Table1[[#This Row],[Tm]]/(100-Table1[[#This Row],[Decimal degree latitude]])+15*Table1[[#This Row],[T-Td]])/(80-Table1[[#This Row],[Average temperature (°C)]])*365</f>
        <v>1820.5042991147614</v>
      </c>
    </row>
    <row r="189" spans="1:23" x14ac:dyDescent="0.25">
      <c r="A189" s="2" t="s">
        <v>30</v>
      </c>
      <c r="B189" s="2" t="s">
        <v>141</v>
      </c>
      <c r="C189" s="2" t="s">
        <v>140</v>
      </c>
      <c r="D189" s="2" t="s">
        <v>71</v>
      </c>
      <c r="E189" s="2">
        <v>2017</v>
      </c>
      <c r="F189" s="2">
        <v>5</v>
      </c>
      <c r="G189" s="2"/>
      <c r="H189" s="2"/>
      <c r="I189" s="2">
        <v>16.5</v>
      </c>
      <c r="J189" s="2">
        <v>0.51</v>
      </c>
      <c r="K189" s="2">
        <v>1</v>
      </c>
      <c r="L18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89" s="2">
        <f>1000000/1000/9.81/IF(Table1[[#This Row],[Dam height (m)]]="",10,Table1[[#This Row],[Dam height (m)]])*3600</f>
        <v>73394.495412844029</v>
      </c>
      <c r="N18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89" s="2">
        <v>1.276389</v>
      </c>
      <c r="P189" s="2">
        <v>34.657778</v>
      </c>
      <c r="Q189" s="12">
        <v>1100</v>
      </c>
      <c r="R189" s="12">
        <v>21.5</v>
      </c>
      <c r="S189" s="12">
        <f t="shared" si="47"/>
        <v>11.6</v>
      </c>
      <c r="T189" s="12">
        <f t="shared" si="48"/>
        <v>1.6999999999999993</v>
      </c>
      <c r="U189" s="12">
        <f>Table1[[#This Row],[Average temperature (°C)]]+0.006*Table1[[#This Row],[Average Country Elevation]]</f>
        <v>28.1</v>
      </c>
      <c r="V189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89" s="14">
        <f>(700*Table1[[#This Row],[Tm]]/(100-Table1[[#This Row],[Decimal degree latitude]])+15*Table1[[#This Row],[T-Td]])/(80-Table1[[#This Row],[Average temperature (°C)]])*365</f>
        <v>1835.3767143510161</v>
      </c>
    </row>
    <row r="190" spans="1:23" x14ac:dyDescent="0.25">
      <c r="A190" s="2" t="s">
        <v>30</v>
      </c>
      <c r="B190" s="2" t="s">
        <v>126</v>
      </c>
      <c r="C190" s="2" t="s">
        <v>225</v>
      </c>
      <c r="D190" s="2" t="s">
        <v>71</v>
      </c>
      <c r="E190" s="2">
        <v>2009</v>
      </c>
      <c r="F190" s="2">
        <v>159</v>
      </c>
      <c r="G190" s="2"/>
      <c r="H190" s="2"/>
      <c r="I190" s="2">
        <v>13</v>
      </c>
      <c r="J190" s="2">
        <v>0.51</v>
      </c>
      <c r="K190" s="2">
        <v>1</v>
      </c>
      <c r="L19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0" s="2">
        <f>1000000/1000/9.81/IF(Table1[[#This Row],[Dam height (m)]]="",10,Table1[[#This Row],[Dam height (m)]])*3600</f>
        <v>2308.0030004039004</v>
      </c>
      <c r="N19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0" s="2">
        <v>0.30555599999999999</v>
      </c>
      <c r="P190" s="2">
        <v>30.098056</v>
      </c>
      <c r="Q190" s="12">
        <v>1100</v>
      </c>
      <c r="R190" s="12">
        <v>21.5</v>
      </c>
      <c r="S190" s="12">
        <f t="shared" si="47"/>
        <v>11.6</v>
      </c>
      <c r="T190" s="12">
        <f t="shared" si="48"/>
        <v>1.6999999999999993</v>
      </c>
      <c r="U190" s="12">
        <f>Table1[[#This Row],[Average temperature (°C)]]+0.006*Table1[[#This Row],[Average Country Elevation]]</f>
        <v>28.1</v>
      </c>
      <c r="V190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0" s="14">
        <f>(700*Table1[[#This Row],[Tm]]/(100-Table1[[#This Row],[Decimal degree latitude]])+15*Table1[[#This Row],[T-Td]])/(80-Table1[[#This Row],[Average temperature (°C)]])*365</f>
        <v>1823.2709030310978</v>
      </c>
    </row>
    <row r="191" spans="1:23" x14ac:dyDescent="0.25">
      <c r="A191" s="2" t="s">
        <v>30</v>
      </c>
      <c r="B191" s="2" t="s">
        <v>134</v>
      </c>
      <c r="C191" s="2" t="s">
        <v>135</v>
      </c>
      <c r="D191" s="2" t="s">
        <v>71</v>
      </c>
      <c r="E191" s="2">
        <v>2009</v>
      </c>
      <c r="F191" s="2">
        <v>5</v>
      </c>
      <c r="G191" s="2"/>
      <c r="H191" s="2"/>
      <c r="I191" s="2">
        <v>10.5</v>
      </c>
      <c r="J191" s="2">
        <v>0.51</v>
      </c>
      <c r="K191" s="2">
        <v>1</v>
      </c>
      <c r="L19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1" s="2">
        <f>1000000/1000/9.81/IF(Table1[[#This Row],[Dam height (m)]]="",10,Table1[[#This Row],[Dam height (m)]])*3600</f>
        <v>73394.495412844029</v>
      </c>
      <c r="N19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1" s="2">
        <v>0.16669999999999999</v>
      </c>
      <c r="P191" s="2">
        <v>30.1</v>
      </c>
      <c r="Q191" s="12">
        <v>1100</v>
      </c>
      <c r="R191" s="12">
        <v>21.5</v>
      </c>
      <c r="S191" s="12">
        <f t="shared" si="47"/>
        <v>11.6</v>
      </c>
      <c r="T191" s="12">
        <f t="shared" si="48"/>
        <v>1.6999999999999993</v>
      </c>
      <c r="U191" s="12">
        <f>Table1[[#This Row],[Average temperature (°C)]]+0.006*Table1[[#This Row],[Average Country Elevation]]</f>
        <v>28.1</v>
      </c>
      <c r="V191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1" s="14">
        <f>(700*Table1[[#This Row],[Tm]]/(100-Table1[[#This Row],[Decimal degree latitude]])+15*Table1[[#This Row],[T-Td]])/(80-Table1[[#This Row],[Average temperature (°C)]])*365</f>
        <v>1821.5586827925913</v>
      </c>
    </row>
    <row r="192" spans="1:23" x14ac:dyDescent="0.25">
      <c r="A192" s="2" t="s">
        <v>30</v>
      </c>
      <c r="B192" s="2" t="s">
        <v>128</v>
      </c>
      <c r="C192" s="2" t="s">
        <v>102</v>
      </c>
      <c r="D192" s="2" t="s">
        <v>71</v>
      </c>
      <c r="E192" s="2">
        <v>2013</v>
      </c>
      <c r="F192" s="2">
        <v>5</v>
      </c>
      <c r="G192" s="2"/>
      <c r="H192" s="2"/>
      <c r="I192" s="2">
        <v>9</v>
      </c>
      <c r="J192" s="2">
        <v>0.51</v>
      </c>
      <c r="K192" s="2">
        <v>1</v>
      </c>
      <c r="L19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2" s="2">
        <f>1000000/1000/9.81/IF(Table1[[#This Row],[Dam height (m)]]="",10,Table1[[#This Row],[Dam height (m)]])*3600</f>
        <v>73394.495412844029</v>
      </c>
      <c r="N19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2" s="2">
        <v>1.5435300000000001</v>
      </c>
      <c r="P192" s="2">
        <v>31.110824999999998</v>
      </c>
      <c r="Q192" s="12">
        <v>1100</v>
      </c>
      <c r="R192" s="12">
        <v>21.5</v>
      </c>
      <c r="S192" s="12">
        <f t="shared" si="47"/>
        <v>11.6</v>
      </c>
      <c r="T192" s="12">
        <f t="shared" si="48"/>
        <v>1.6999999999999993</v>
      </c>
      <c r="U192" s="12">
        <f>Table1[[#This Row],[Average temperature (°C)]]+0.006*Table1[[#This Row],[Average Country Elevation]]</f>
        <v>28.1</v>
      </c>
      <c r="V192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2" s="14">
        <f>(700*Table1[[#This Row],[Tm]]/(100-Table1[[#This Row],[Decimal degree latitude]])+15*Table1[[#This Row],[T-Td]])/(80-Table1[[#This Row],[Average temperature (°C)]])*365</f>
        <v>1838.7497164601868</v>
      </c>
    </row>
    <row r="193" spans="1:23" x14ac:dyDescent="0.25">
      <c r="A193" s="2" t="s">
        <v>30</v>
      </c>
      <c r="B193" s="2" t="s">
        <v>129</v>
      </c>
      <c r="C193" s="2" t="s">
        <v>130</v>
      </c>
      <c r="D193" s="2" t="s">
        <v>71</v>
      </c>
      <c r="E193" s="2">
        <v>2011</v>
      </c>
      <c r="F193" s="2">
        <v>5</v>
      </c>
      <c r="G193" s="2"/>
      <c r="H193" s="2"/>
      <c r="I193" s="2">
        <v>6.6</v>
      </c>
      <c r="J193" s="2">
        <v>0.51</v>
      </c>
      <c r="K193" s="2">
        <v>1</v>
      </c>
      <c r="L19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3" s="2">
        <f>1000000/1000/9.81/IF(Table1[[#This Row],[Dam height (m)]]="",10,Table1[[#This Row],[Dam height (m)]])*3600</f>
        <v>73394.495412844029</v>
      </c>
      <c r="N19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3" s="2">
        <v>-0.88138899999999998</v>
      </c>
      <c r="P193" s="2">
        <v>29.670556000000001</v>
      </c>
      <c r="Q193" s="12">
        <v>1100</v>
      </c>
      <c r="R193" s="12">
        <v>21.5</v>
      </c>
      <c r="S193" s="12">
        <f t="shared" si="47"/>
        <v>11.6</v>
      </c>
      <c r="T193" s="12">
        <f t="shared" si="48"/>
        <v>1.6999999999999993</v>
      </c>
      <c r="U193" s="12">
        <f>Table1[[#This Row],[Average temperature (°C)]]+0.006*Table1[[#This Row],[Average Country Elevation]]</f>
        <v>28.1</v>
      </c>
      <c r="V193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3" s="14">
        <f>(700*Table1[[#This Row],[Tm]]/(100-Table1[[#This Row],[Decimal degree latitude]])+15*Table1[[#This Row],[T-Td]])/(80-Table1[[#This Row],[Average temperature (°C)]])*365</f>
        <v>1808.786855386629</v>
      </c>
    </row>
    <row r="194" spans="1:23" x14ac:dyDescent="0.25">
      <c r="A194" s="2" t="s">
        <v>30</v>
      </c>
      <c r="B194" s="2" t="s">
        <v>143</v>
      </c>
      <c r="C194" s="2" t="s">
        <v>227</v>
      </c>
      <c r="D194" s="2" t="s">
        <v>71</v>
      </c>
      <c r="E194" s="2">
        <v>2017</v>
      </c>
      <c r="F194" s="2">
        <v>5</v>
      </c>
      <c r="G194" s="2"/>
      <c r="H194" s="2"/>
      <c r="I194" s="2">
        <v>6.5</v>
      </c>
      <c r="J194" s="2">
        <v>0.51</v>
      </c>
      <c r="K194" s="2">
        <v>1</v>
      </c>
      <c r="L19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4" s="2">
        <f>1000000/1000/9.81/IF(Table1[[#This Row],[Dam height (m)]]="",10,Table1[[#This Row],[Dam height (m)]])*3600</f>
        <v>73394.495412844029</v>
      </c>
      <c r="N19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4" s="2">
        <v>-1.3180000000000001</v>
      </c>
      <c r="P194" s="2">
        <v>30.078900000000001</v>
      </c>
      <c r="Q194" s="12">
        <v>1100</v>
      </c>
      <c r="R194" s="12">
        <v>21.5</v>
      </c>
      <c r="S194" s="12">
        <f t="shared" si="47"/>
        <v>11.6</v>
      </c>
      <c r="T194" s="12">
        <f t="shared" si="48"/>
        <v>1.6999999999999993</v>
      </c>
      <c r="U194" s="12">
        <f>Table1[[#This Row],[Average temperature (°C)]]+0.006*Table1[[#This Row],[Average Country Elevation]]</f>
        <v>28.1</v>
      </c>
      <c r="V194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4" s="14">
        <f>(700*Table1[[#This Row],[Tm]]/(100-Table1[[#This Row],[Decimal degree latitude]])+15*Table1[[#This Row],[T-Td]])/(80-Table1[[#This Row],[Average temperature (°C)]])*365</f>
        <v>1803.5443562225928</v>
      </c>
    </row>
    <row r="195" spans="1:23" x14ac:dyDescent="0.25">
      <c r="A195" s="2" t="s">
        <v>30</v>
      </c>
      <c r="B195" s="2" t="s">
        <v>139</v>
      </c>
      <c r="C195" s="2" t="s">
        <v>140</v>
      </c>
      <c r="D195" s="2" t="s">
        <v>71</v>
      </c>
      <c r="E195" s="2">
        <v>2017</v>
      </c>
      <c r="F195" s="2">
        <v>5</v>
      </c>
      <c r="G195" s="2"/>
      <c r="H195" s="2"/>
      <c r="I195" s="2">
        <v>6.1</v>
      </c>
      <c r="J195" s="2">
        <v>0.51</v>
      </c>
      <c r="K195" s="2">
        <v>1</v>
      </c>
      <c r="L19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5" s="2">
        <f>1000000/1000/9.81/IF(Table1[[#This Row],[Dam height (m)]]="",10,Table1[[#This Row],[Dam height (m)]])*3600</f>
        <v>73394.495412844029</v>
      </c>
      <c r="N19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5" s="2">
        <v>1.25</v>
      </c>
      <c r="P195" s="2">
        <v>34.636944999999997</v>
      </c>
      <c r="Q195" s="12">
        <v>1100</v>
      </c>
      <c r="R195" s="12">
        <v>21.5</v>
      </c>
      <c r="S195" s="12">
        <f t="shared" si="47"/>
        <v>11.6</v>
      </c>
      <c r="T195" s="12">
        <f t="shared" si="48"/>
        <v>1.6999999999999993</v>
      </c>
      <c r="U195" s="12">
        <f>Table1[[#This Row],[Average temperature (°C)]]+0.006*Table1[[#This Row],[Average Country Elevation]]</f>
        <v>28.1</v>
      </c>
      <c r="V195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5" s="14">
        <f>(700*Table1[[#This Row],[Tm]]/(100-Table1[[#This Row],[Decimal degree latitude]])+15*Table1[[#This Row],[T-Td]])/(80-Table1[[#This Row],[Average temperature (°C)]])*365</f>
        <v>1835.0445093584331</v>
      </c>
    </row>
    <row r="196" spans="1:23" x14ac:dyDescent="0.25">
      <c r="A196" s="2" t="s">
        <v>30</v>
      </c>
      <c r="B196" s="2" t="s">
        <v>142</v>
      </c>
      <c r="C196" s="2" t="s">
        <v>142</v>
      </c>
      <c r="D196" s="2" t="s">
        <v>71</v>
      </c>
      <c r="E196" s="2">
        <v>2017</v>
      </c>
      <c r="F196" s="2">
        <v>5</v>
      </c>
      <c r="G196" s="2"/>
      <c r="H196" s="2"/>
      <c r="I196" s="2">
        <v>5.6</v>
      </c>
      <c r="J196" s="2">
        <v>0.51</v>
      </c>
      <c r="K196" s="2">
        <v>1</v>
      </c>
      <c r="L19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6" s="2">
        <f>1000000/1000/9.81/IF(Table1[[#This Row],[Dam height (m)]]="",10,Table1[[#This Row],[Dam height (m)]])*3600</f>
        <v>73394.495412844029</v>
      </c>
      <c r="N19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6" s="2">
        <v>0.3861</v>
      </c>
      <c r="P196" s="2">
        <v>30.185300000000002</v>
      </c>
      <c r="Q196" s="12">
        <v>1100</v>
      </c>
      <c r="R196" s="12">
        <v>21.5</v>
      </c>
      <c r="S196" s="12">
        <f t="shared" si="47"/>
        <v>11.6</v>
      </c>
      <c r="T196" s="12">
        <f t="shared" si="48"/>
        <v>1.6999999999999993</v>
      </c>
      <c r="U196" s="12">
        <f>Table1[[#This Row],[Average temperature (°C)]]+0.006*Table1[[#This Row],[Average Country Elevation]]</f>
        <v>28.1</v>
      </c>
      <c r="V196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6" s="14">
        <f>(700*Table1[[#This Row],[Tm]]/(100-Table1[[#This Row],[Decimal degree latitude]])+15*Table1[[#This Row],[T-Td]])/(80-Table1[[#This Row],[Average temperature (°C)]])*365</f>
        <v>1824.2662709816618</v>
      </c>
    </row>
    <row r="197" spans="1:23" x14ac:dyDescent="0.25">
      <c r="A197" s="2" t="s">
        <v>30</v>
      </c>
      <c r="B197" s="2" t="s">
        <v>133</v>
      </c>
      <c r="C197" s="2" t="s">
        <v>135</v>
      </c>
      <c r="D197" s="2" t="s">
        <v>71</v>
      </c>
      <c r="E197" s="2">
        <v>1950</v>
      </c>
      <c r="F197" s="2">
        <v>5</v>
      </c>
      <c r="G197" s="2"/>
      <c r="H197" s="2"/>
      <c r="I197" s="2">
        <v>5</v>
      </c>
      <c r="J197" s="2">
        <v>0.51</v>
      </c>
      <c r="K197" s="2">
        <v>1</v>
      </c>
      <c r="L19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7" s="2">
        <f>1000000/1000/9.81/IF(Table1[[#This Row],[Dam height (m)]]="",10,Table1[[#This Row],[Dam height (m)]])*3600</f>
        <v>73394.495412844029</v>
      </c>
      <c r="N19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7" s="2">
        <v>0.31861</v>
      </c>
      <c r="P197" s="2">
        <v>30.1</v>
      </c>
      <c r="Q197" s="12">
        <v>1100</v>
      </c>
      <c r="R197" s="12">
        <v>21.5</v>
      </c>
      <c r="S197" s="12">
        <f t="shared" si="47"/>
        <v>11.6</v>
      </c>
      <c r="T197" s="12">
        <f t="shared" si="48"/>
        <v>1.6999999999999993</v>
      </c>
      <c r="U197" s="12">
        <f>Table1[[#This Row],[Average temperature (°C)]]+0.006*Table1[[#This Row],[Average Country Elevation]]</f>
        <v>28.1</v>
      </c>
      <c r="V197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7" s="14">
        <f>(700*Table1[[#This Row],[Tm]]/(100-Table1[[#This Row],[Decimal degree latitude]])+15*Table1[[#This Row],[T-Td]])/(80-Table1[[#This Row],[Average temperature (°C)]])*365</f>
        <v>1823.4321159813089</v>
      </c>
    </row>
    <row r="198" spans="1:23" x14ac:dyDescent="0.25">
      <c r="A198" s="2" t="s">
        <v>30</v>
      </c>
      <c r="B198" s="2" t="s">
        <v>137</v>
      </c>
      <c r="C198" s="2" t="s">
        <v>137</v>
      </c>
      <c r="D198" s="2" t="s">
        <v>71</v>
      </c>
      <c r="E198" s="2">
        <v>2012</v>
      </c>
      <c r="F198" s="2">
        <v>5</v>
      </c>
      <c r="G198" s="2"/>
      <c r="H198" s="2"/>
      <c r="I198" s="2">
        <v>3.5</v>
      </c>
      <c r="J198" s="2">
        <v>0.51</v>
      </c>
      <c r="K198" s="2">
        <v>1</v>
      </c>
      <c r="L19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8" s="2">
        <f>1000000/1000/9.81/IF(Table1[[#This Row],[Dam height (m)]]="",10,Table1[[#This Row],[Dam height (m)]])*3600</f>
        <v>73394.495412844029</v>
      </c>
      <c r="N19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8" s="2">
        <v>2.431</v>
      </c>
      <c r="P198" s="2">
        <v>30.974499999999999</v>
      </c>
      <c r="Q198" s="12">
        <v>1100</v>
      </c>
      <c r="R198" s="12">
        <v>21.5</v>
      </c>
      <c r="S198" s="12">
        <f t="shared" si="47"/>
        <v>11.6</v>
      </c>
      <c r="T198" s="12">
        <f t="shared" si="48"/>
        <v>1.6999999999999993</v>
      </c>
      <c r="U198" s="12">
        <f>Table1[[#This Row],[Average temperature (°C)]]+0.006*Table1[[#This Row],[Average Country Elevation]]</f>
        <v>28.1</v>
      </c>
      <c r="V198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8" s="14">
        <f>(700*Table1[[#This Row],[Tm]]/(100-Table1[[#This Row],[Decimal degree latitude]])+15*Table1[[#This Row],[T-Td]])/(80-Table1[[#This Row],[Average temperature (°C)]])*365</f>
        <v>1850.0877809988158</v>
      </c>
    </row>
    <row r="199" spans="1:23" x14ac:dyDescent="0.25">
      <c r="A199" s="2" t="s">
        <v>30</v>
      </c>
      <c r="B199" s="2" t="s">
        <v>138</v>
      </c>
      <c r="C199" s="2" t="s">
        <v>226</v>
      </c>
      <c r="D199" s="2" t="s">
        <v>71</v>
      </c>
      <c r="E199" s="2">
        <v>2008</v>
      </c>
      <c r="F199" s="2">
        <v>5</v>
      </c>
      <c r="G199" s="2"/>
      <c r="H199" s="2"/>
      <c r="I199" s="2">
        <v>0.3</v>
      </c>
      <c r="J199" s="2">
        <v>0.51</v>
      </c>
      <c r="K199" s="2">
        <v>1</v>
      </c>
      <c r="L19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199" s="2">
        <f>1000000/1000/9.81/IF(Table1[[#This Row],[Dam height (m)]]="",10,Table1[[#This Row],[Dam height (m)]])*3600</f>
        <v>73394.495412844029</v>
      </c>
      <c r="N19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199" s="2">
        <v>-0.99560000000000004</v>
      </c>
      <c r="P199" s="2">
        <v>29.962499999999999</v>
      </c>
      <c r="Q199" s="12">
        <v>1100</v>
      </c>
      <c r="R199" s="12">
        <v>21.5</v>
      </c>
      <c r="S199" s="12">
        <f t="shared" si="47"/>
        <v>11.6</v>
      </c>
      <c r="T199" s="12">
        <f t="shared" si="48"/>
        <v>1.6999999999999993</v>
      </c>
      <c r="U199" s="12">
        <f>Table1[[#This Row],[Average temperature (°C)]]+0.006*Table1[[#This Row],[Average Country Elevation]]</f>
        <v>28.1</v>
      </c>
      <c r="V199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W199" s="14">
        <f>(700*Table1[[#This Row],[Tm]]/(100-Table1[[#This Row],[Decimal degree latitude]])+15*Table1[[#This Row],[T-Td]])/(80-Table1[[#This Row],[Average temperature (°C)]])*365</f>
        <v>1807.4111172212185</v>
      </c>
    </row>
    <row r="200" spans="1:23" x14ac:dyDescent="0.25">
      <c r="A200" s="2" t="s">
        <v>116</v>
      </c>
      <c r="B200" s="2" t="s">
        <v>123</v>
      </c>
      <c r="C200" s="2" t="s">
        <v>118</v>
      </c>
      <c r="D200" s="2" t="s">
        <v>94</v>
      </c>
      <c r="E200" s="2">
        <v>1975</v>
      </c>
      <c r="F200" s="2">
        <v>40</v>
      </c>
      <c r="G200" s="2">
        <v>125</v>
      </c>
      <c r="H200" s="2">
        <v>4.6399999999999997</v>
      </c>
      <c r="I200" s="2">
        <v>204</v>
      </c>
      <c r="J200" s="2">
        <v>0.45</v>
      </c>
      <c r="K200" s="2">
        <v>1</v>
      </c>
      <c r="L20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0" s="2">
        <f>1000000/1000/9.81/IF(Table1[[#This Row],[Dam height (m)]]="",10,Table1[[#This Row],[Dam height (m)]])*3600</f>
        <v>9174.3119266055037</v>
      </c>
      <c r="N200" s="3">
        <f>(Table1[[#This Row],[Reservoir area (km2)]]*1000000*Table1[[#This Row],[Eo (mm/year)]]/1000)/Table1[[#This Row],[Hydroelectricity (MW)]]/8760*Table1[[#This Row],[Water consumption allocation]]/Table1[[#This Row],[CF]]</f>
        <v>10.234855074913019</v>
      </c>
      <c r="O200" s="2">
        <v>-7.6357819999999998</v>
      </c>
      <c r="P200" s="2">
        <v>36.886854</v>
      </c>
      <c r="Q200" s="12">
        <v>1018</v>
      </c>
      <c r="R200" s="12">
        <v>22.3</v>
      </c>
      <c r="S200" s="12">
        <f>27.8-17.3</f>
        <v>10.5</v>
      </c>
      <c r="T200" s="12">
        <f>23.4-20.2</f>
        <v>3.1999999999999993</v>
      </c>
      <c r="U200" s="12">
        <f>Table1[[#This Row],[Average temperature (°C)]]+0.006*Table1[[#This Row],[Average Country Elevation]]</f>
        <v>28.408000000000001</v>
      </c>
      <c r="V200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0" s="14">
        <f>(700*Table1[[#This Row],[Tm]]/(100-Table1[[#This Row],[Decimal degree latitude]])+15*Table1[[#This Row],[T-Td]])/(80-Table1[[#This Row],[Average temperature (°C)]])*365</f>
        <v>1773.8239085953996</v>
      </c>
    </row>
    <row r="201" spans="1:23" x14ac:dyDescent="0.25">
      <c r="A201" s="2" t="s">
        <v>116</v>
      </c>
      <c r="B201" s="2" t="s">
        <v>119</v>
      </c>
      <c r="C201" s="2" t="s">
        <v>120</v>
      </c>
      <c r="D201" s="2" t="s">
        <v>94</v>
      </c>
      <c r="E201" s="2">
        <v>2000</v>
      </c>
      <c r="F201" s="2">
        <v>25</v>
      </c>
      <c r="G201" s="2">
        <v>1</v>
      </c>
      <c r="H201" s="2">
        <v>0.12</v>
      </c>
      <c r="I201" s="2">
        <v>180</v>
      </c>
      <c r="J201" s="2">
        <v>0.45</v>
      </c>
      <c r="K201" s="2">
        <v>1</v>
      </c>
      <c r="L20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1" s="2">
        <f>1000000/1000/9.81/IF(Table1[[#This Row],[Dam height (m)]]="",10,Table1[[#This Row],[Dam height (m)]])*3600</f>
        <v>14678.899082568807</v>
      </c>
      <c r="N201" s="3">
        <f>(Table1[[#This Row],[Reservoir area (km2)]]*1000000*Table1[[#This Row],[Eo (mm/year)]]/1000)/Table1[[#This Row],[Hydroelectricity (MW)]]/8760*Table1[[#This Row],[Water consumption allocation]]/Table1[[#This Row],[CF]]</f>
        <v>0.29827740056841701</v>
      </c>
      <c r="O201" s="2">
        <v>-8.5749999999999993</v>
      </c>
      <c r="P201" s="2">
        <v>35.851666999999999</v>
      </c>
      <c r="Q201" s="12">
        <v>1018</v>
      </c>
      <c r="R201" s="12">
        <v>22.3</v>
      </c>
      <c r="S201" s="12">
        <f t="shared" ref="S201:S206" si="49">27.8-17.3</f>
        <v>10.5</v>
      </c>
      <c r="T201" s="12">
        <f t="shared" ref="T201:T206" si="50">23.4-20.2</f>
        <v>3.1999999999999993</v>
      </c>
      <c r="U201" s="12">
        <f>Table1[[#This Row],[Average temperature (°C)]]+0.006*Table1[[#This Row],[Average Country Elevation]]</f>
        <v>28.408000000000001</v>
      </c>
      <c r="V201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1" s="14">
        <f>(700*Table1[[#This Row],[Tm]]/(100-Table1[[#This Row],[Decimal degree latitude]])+15*Table1[[#This Row],[T-Td]])/(80-Table1[[#This Row],[Average temperature (°C)]])*365</f>
        <v>1763.7142695610496</v>
      </c>
    </row>
    <row r="202" spans="1:23" x14ac:dyDescent="0.25">
      <c r="A202" s="2" t="s">
        <v>116</v>
      </c>
      <c r="B202" s="2" t="s">
        <v>117</v>
      </c>
      <c r="C202" s="2" t="s">
        <v>118</v>
      </c>
      <c r="D202" s="2" t="s">
        <v>94</v>
      </c>
      <c r="E202" s="2">
        <v>1980</v>
      </c>
      <c r="F202" s="2">
        <v>45</v>
      </c>
      <c r="G202" s="2">
        <v>3200</v>
      </c>
      <c r="H202" s="2">
        <v>524.26</v>
      </c>
      <c r="I202" s="2">
        <v>80</v>
      </c>
      <c r="J202" s="2">
        <v>0.45</v>
      </c>
      <c r="K202" s="2">
        <v>1</v>
      </c>
      <c r="L20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2" s="2">
        <f>1000000/1000/9.81/IF(Table1[[#This Row],[Dam height (m)]]="",10,Table1[[#This Row],[Dam height (m)]])*3600</f>
        <v>8154.9439347604484</v>
      </c>
      <c r="N202" s="3">
        <f>(Table1[[#This Row],[Reservoir area (km2)]]*1000000*Table1[[#This Row],[Eo (mm/year)]]/1000)/Table1[[#This Row],[Hydroelectricity (MW)]]/8760*Table1[[#This Row],[Water consumption allocation]]/Table1[[#This Row],[CF]]</f>
        <v>2957.8957285890697</v>
      </c>
      <c r="O202" s="2">
        <v>-7.1361939999999997</v>
      </c>
      <c r="P202" s="2">
        <v>35.986832999999997</v>
      </c>
      <c r="Q202" s="12">
        <v>1018</v>
      </c>
      <c r="R202" s="12">
        <v>22.3</v>
      </c>
      <c r="S202" s="12">
        <f t="shared" si="49"/>
        <v>10.5</v>
      </c>
      <c r="T202" s="12">
        <f t="shared" si="50"/>
        <v>3.1999999999999993</v>
      </c>
      <c r="U202" s="12">
        <f>Table1[[#This Row],[Average temperature (°C)]]+0.006*Table1[[#This Row],[Average Country Elevation]]</f>
        <v>28.408000000000001</v>
      </c>
      <c r="V202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2" s="14">
        <f>(700*Table1[[#This Row],[Tm]]/(100-Table1[[#This Row],[Decimal degree latitude]])+15*Table1[[#This Row],[T-Td]])/(80-Table1[[#This Row],[Average temperature (°C)]])*365</f>
        <v>1779.2736370652901</v>
      </c>
    </row>
    <row r="203" spans="1:23" x14ac:dyDescent="0.25">
      <c r="A203" s="2" t="s">
        <v>116</v>
      </c>
      <c r="B203" s="2" t="s">
        <v>124</v>
      </c>
      <c r="C203" s="2" t="s">
        <v>122</v>
      </c>
      <c r="D203" s="2" t="s">
        <v>94</v>
      </c>
      <c r="E203" s="2">
        <v>1994</v>
      </c>
      <c r="F203" s="2">
        <v>10</v>
      </c>
      <c r="G203" s="2">
        <v>0.8</v>
      </c>
      <c r="H203" s="2">
        <v>0.28999999999999998</v>
      </c>
      <c r="I203" s="2">
        <v>68</v>
      </c>
      <c r="J203" s="2">
        <v>0.45</v>
      </c>
      <c r="K203" s="2">
        <v>1</v>
      </c>
      <c r="L20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3" s="2">
        <f>1000000/1000/9.81/IF(Table1[[#This Row],[Dam height (m)]]="",10,Table1[[#This Row],[Dam height (m)]])*3600</f>
        <v>36697.247706422015</v>
      </c>
      <c r="N203" s="3">
        <f>(Table1[[#This Row],[Reservoir area (km2)]]*1000000*Table1[[#This Row],[Eo (mm/year)]]/1000)/Table1[[#This Row],[Hydroelectricity (MW)]]/8760*Table1[[#This Row],[Water consumption allocation]]/Table1[[#This Row],[CF]]</f>
        <v>1.9464798078285797</v>
      </c>
      <c r="O203" s="2">
        <v>-5.349056</v>
      </c>
      <c r="P203" s="2">
        <v>38.650306</v>
      </c>
      <c r="Q203" s="12">
        <v>1018</v>
      </c>
      <c r="R203" s="12">
        <v>22.3</v>
      </c>
      <c r="S203" s="12">
        <f t="shared" si="49"/>
        <v>10.5</v>
      </c>
      <c r="T203" s="12">
        <f t="shared" si="50"/>
        <v>3.1999999999999993</v>
      </c>
      <c r="U203" s="12">
        <f>Table1[[#This Row],[Average temperature (°C)]]+0.006*Table1[[#This Row],[Average Country Elevation]]</f>
        <v>28.408000000000001</v>
      </c>
      <c r="V203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3" s="14">
        <f>(700*Table1[[#This Row],[Tm]]/(100-Table1[[#This Row],[Decimal degree latitude]])+15*Table1[[#This Row],[T-Td]])/(80-Table1[[#This Row],[Average temperature (°C)]])*365</f>
        <v>1799.1916943699925</v>
      </c>
    </row>
    <row r="204" spans="1:23" x14ac:dyDescent="0.25">
      <c r="A204" s="2" t="s">
        <v>116</v>
      </c>
      <c r="B204" s="2" t="s">
        <v>125</v>
      </c>
      <c r="C204" s="2" t="s">
        <v>122</v>
      </c>
      <c r="D204" s="2" t="s">
        <v>94</v>
      </c>
      <c r="E204" s="2">
        <v>1964</v>
      </c>
      <c r="F204" s="2">
        <v>70</v>
      </c>
      <c r="G204" s="2">
        <v>1.9</v>
      </c>
      <c r="H204" s="2">
        <v>0.02</v>
      </c>
      <c r="I204" s="2">
        <v>21</v>
      </c>
      <c r="J204" s="2">
        <v>0.45</v>
      </c>
      <c r="K204" s="2">
        <v>1</v>
      </c>
      <c r="L20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4" s="2">
        <f>1000000/1000/9.81/IF(Table1[[#This Row],[Dam height (m)]]="",10,Table1[[#This Row],[Dam height (m)]])*3600</f>
        <v>5242.463958060288</v>
      </c>
      <c r="N204" s="3">
        <f>(Table1[[#This Row],[Reservoir area (km2)]]*1000000*Table1[[#This Row],[Eo (mm/year)]]/1000)/Table1[[#This Row],[Hydroelectricity (MW)]]/8760*Table1[[#This Row],[Water consumption allocation]]/Table1[[#This Row],[CF]]</f>
        <v>0.43482135769913005</v>
      </c>
      <c r="O204" s="2">
        <v>-5.2981389999999999</v>
      </c>
      <c r="P204" s="2">
        <v>38.604111000000003</v>
      </c>
      <c r="Q204" s="12">
        <v>1018</v>
      </c>
      <c r="R204" s="12">
        <v>22.3</v>
      </c>
      <c r="S204" s="12">
        <f t="shared" si="49"/>
        <v>10.5</v>
      </c>
      <c r="T204" s="12">
        <f t="shared" si="50"/>
        <v>3.1999999999999993</v>
      </c>
      <c r="U204" s="12">
        <f>Table1[[#This Row],[Average temperature (°C)]]+0.006*Table1[[#This Row],[Average Country Elevation]]</f>
        <v>28.408000000000001</v>
      </c>
      <c r="V204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4" s="14">
        <f>(700*Table1[[#This Row],[Tm]]/(100-Table1[[#This Row],[Decimal degree latitude]])+15*Table1[[#This Row],[T-Td]])/(80-Table1[[#This Row],[Average temperature (°C)]])*365</f>
        <v>1799.7690816524694</v>
      </c>
    </row>
    <row r="205" spans="1:23" x14ac:dyDescent="0.25">
      <c r="A205" s="2" t="s">
        <v>116</v>
      </c>
      <c r="B205" s="2" t="s">
        <v>121</v>
      </c>
      <c r="C205" s="2" t="s">
        <v>122</v>
      </c>
      <c r="D205" s="2" t="s">
        <v>94</v>
      </c>
      <c r="E205" s="2">
        <v>1966</v>
      </c>
      <c r="F205" s="2">
        <v>42</v>
      </c>
      <c r="G205" s="2">
        <v>870</v>
      </c>
      <c r="H205" s="2">
        <v>83.09</v>
      </c>
      <c r="I205" s="2">
        <v>8</v>
      </c>
      <c r="J205" s="2">
        <v>0.45</v>
      </c>
      <c r="K205" s="2">
        <v>2</v>
      </c>
      <c r="L20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205" s="2">
        <f>1000000/1000/9.81/IF(Table1[[#This Row],[Dam height (m)]]="",10,Table1[[#This Row],[Dam height (m)]])*3600</f>
        <v>8737.4399301004796</v>
      </c>
      <c r="N205" s="3">
        <f>(Table1[[#This Row],[Reservoir area (km2)]]*1000000*Table1[[#This Row],[Eo (mm/year)]]/1000)/Table1[[#This Row],[Hydroelectricity (MW)]]/8760*Table1[[#This Row],[Water consumption allocation]]/Table1[[#This Row],[CF]]</f>
        <v>2125.2530238344348</v>
      </c>
      <c r="O205" s="2">
        <v>-3.8258329999999998</v>
      </c>
      <c r="P205" s="2">
        <v>37.469332999999999</v>
      </c>
      <c r="Q205" s="12">
        <v>1018</v>
      </c>
      <c r="R205" s="12">
        <v>22.3</v>
      </c>
      <c r="S205" s="12">
        <f t="shared" si="49"/>
        <v>10.5</v>
      </c>
      <c r="T205" s="12">
        <f t="shared" si="50"/>
        <v>3.1999999999999993</v>
      </c>
      <c r="U205" s="12">
        <f>Table1[[#This Row],[Average temperature (°C)]]+0.006*Table1[[#This Row],[Average Country Elevation]]</f>
        <v>28.408000000000001</v>
      </c>
      <c r="V205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5" s="14">
        <f>(700*Table1[[#This Row],[Tm]]/(100-Table1[[#This Row],[Decimal degree latitude]])+15*Table1[[#This Row],[T-Td]])/(80-Table1[[#This Row],[Average temperature (°C)]])*365</f>
        <v>1816.7096397058529</v>
      </c>
    </row>
    <row r="206" spans="1:23" x14ac:dyDescent="0.25">
      <c r="A206" s="2" t="s">
        <v>116</v>
      </c>
      <c r="B206" s="2" t="s">
        <v>381</v>
      </c>
      <c r="C206" s="2" t="s">
        <v>228</v>
      </c>
      <c r="D206" s="2" t="s">
        <v>94</v>
      </c>
      <c r="E206" s="2"/>
      <c r="F206" s="2"/>
      <c r="G206" s="2"/>
      <c r="H206" s="2">
        <v>0.66</v>
      </c>
      <c r="I206" s="2">
        <v>11</v>
      </c>
      <c r="J206" s="2">
        <v>0.45</v>
      </c>
      <c r="K206" s="2">
        <v>1</v>
      </c>
      <c r="L20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6" s="2">
        <f>1000000/1000/9.81/IF(Table1[[#This Row],[Dam height (m)]]="",10,Table1[[#This Row],[Dam height (m)]])*3600</f>
        <v>36697.247706422015</v>
      </c>
      <c r="N206" s="3">
        <f>(Table1[[#This Row],[Reservoir area (km2)]]*1000000*Table1[[#This Row],[Eo (mm/year)]]/1000)/Table1[[#This Row],[Hydroelectricity (MW)]]/8760*Table1[[#This Row],[Water consumption allocation]]/Table1[[#This Row],[CF]]</f>
        <v>26.444990707657247</v>
      </c>
      <c r="O206" s="2">
        <v>-11.094802</v>
      </c>
      <c r="P206" s="2">
        <v>35.279077999999998</v>
      </c>
      <c r="Q206" s="12">
        <v>1018</v>
      </c>
      <c r="R206" s="12">
        <v>22.3</v>
      </c>
      <c r="S206" s="12">
        <f t="shared" si="49"/>
        <v>10.5</v>
      </c>
      <c r="T206" s="12">
        <f t="shared" si="50"/>
        <v>3.1999999999999993</v>
      </c>
      <c r="U206" s="12">
        <f>Table1[[#This Row],[Average temperature (°C)]]+0.006*Table1[[#This Row],[Average Country Elevation]]</f>
        <v>28.408000000000001</v>
      </c>
      <c r="V206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W206" s="14">
        <f>(700*Table1[[#This Row],[Tm]]/(100-Table1[[#This Row],[Decimal degree latitude]])+15*Table1[[#This Row],[T-Td]])/(80-Table1[[#This Row],[Average temperature (°C)]])*365</f>
        <v>1737.435889493081</v>
      </c>
    </row>
    <row r="207" spans="1:23" x14ac:dyDescent="0.25">
      <c r="A207" s="2" t="s">
        <v>240</v>
      </c>
      <c r="B207" s="2" t="s">
        <v>385</v>
      </c>
      <c r="C207" s="2" t="s">
        <v>287</v>
      </c>
      <c r="D207" s="2" t="s">
        <v>249</v>
      </c>
      <c r="E207" s="2">
        <v>1959</v>
      </c>
      <c r="F207" s="2">
        <v>128</v>
      </c>
      <c r="G207" s="2">
        <v>94000</v>
      </c>
      <c r="H207" s="2">
        <v>2550</v>
      </c>
      <c r="I207" s="2">
        <v>1080</v>
      </c>
      <c r="J207" s="2">
        <v>0.65</v>
      </c>
      <c r="K207" s="2">
        <v>1</v>
      </c>
      <c r="L20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7" s="2">
        <f>1000000/1000/9.81/IF(Table1[[#This Row],[Dam height (m)]]="",10,Table1[[#This Row],[Dam height (m)]])*3600</f>
        <v>2866.9724770642201</v>
      </c>
      <c r="N207" s="3">
        <f>(Table1[[#This Row],[Reservoir area (km2)]]*1000000*Table1[[#This Row],[Eo (mm/year)]]/1000)/Table1[[#This Row],[Hydroelectricity (MW)]]/8760*Table1[[#This Row],[Water consumption allocation]]/Table1[[#This Row],[CF]]</f>
        <v>779.34361800163947</v>
      </c>
      <c r="O207" s="2">
        <v>-16.522222222222222</v>
      </c>
      <c r="P207" s="2">
        <v>28.761944444444445</v>
      </c>
      <c r="Q207" s="12">
        <v>1138</v>
      </c>
      <c r="R207" s="12">
        <v>21</v>
      </c>
      <c r="S207" s="12">
        <f>27.4-14.2</f>
        <v>13.2</v>
      </c>
      <c r="T207" s="12">
        <f>24.3-16.8</f>
        <v>7.5</v>
      </c>
      <c r="U207" s="12">
        <f>Table1[[#This Row],[Average temperature (°C)]]+0.006*Table1[[#This Row],[Average Country Elevation]]</f>
        <v>27.827999999999999</v>
      </c>
      <c r="V207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07" s="14">
        <f>(700*Table1[[#This Row],[Tm]]/(100-Table1[[#This Row],[Decimal degree latitude]])+15*Table1[[#This Row],[T-Td]])/(80-Table1[[#This Row],[Average temperature (°C)]])*365</f>
        <v>1879.4467316758598</v>
      </c>
    </row>
    <row r="208" spans="1:23" x14ac:dyDescent="0.25">
      <c r="A208" s="2" t="s">
        <v>240</v>
      </c>
      <c r="B208" s="2" t="s">
        <v>285</v>
      </c>
      <c r="C208" s="2" t="s">
        <v>286</v>
      </c>
      <c r="D208" s="2" t="s">
        <v>249</v>
      </c>
      <c r="E208" s="2">
        <v>1971</v>
      </c>
      <c r="F208" s="2">
        <v>53</v>
      </c>
      <c r="G208" s="2">
        <v>785</v>
      </c>
      <c r="H208" s="2">
        <v>1.2</v>
      </c>
      <c r="I208" s="2">
        <v>930</v>
      </c>
      <c r="J208" s="2">
        <v>0.65</v>
      </c>
      <c r="K208" s="2">
        <v>1</v>
      </c>
      <c r="L20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8" s="2">
        <f>1000000/1000/9.81/IF(Table1[[#This Row],[Dam height (m)]]="",10,Table1[[#This Row],[Dam height (m)]])*3600</f>
        <v>6924.0090012117016</v>
      </c>
      <c r="N208" s="3">
        <f>(Table1[[#This Row],[Reservoir area (km2)]]*1000000*Table1[[#This Row],[Eo (mm/year)]]/1000)/Table1[[#This Row],[Hydroelectricity (MW)]]/8760*Table1[[#This Row],[Water consumption allocation]]/Table1[[#This Row],[CF]]</f>
        <v>0.42734787396924623</v>
      </c>
      <c r="O208" s="2">
        <v>-15.808333333333334</v>
      </c>
      <c r="P208" s="2">
        <v>28.420833333333334</v>
      </c>
      <c r="Q208" s="12">
        <v>1138</v>
      </c>
      <c r="R208" s="12">
        <v>21</v>
      </c>
      <c r="S208" s="12">
        <f t="shared" ref="S208:S216" si="51">27.4-14.2</f>
        <v>13.2</v>
      </c>
      <c r="T208" s="12">
        <f t="shared" ref="T208:T216" si="52">24.3-16.8</f>
        <v>7.5</v>
      </c>
      <c r="U208" s="12">
        <f>Table1[[#This Row],[Average temperature (°C)]]+0.006*Table1[[#This Row],[Average Country Elevation]]</f>
        <v>27.827999999999999</v>
      </c>
      <c r="V208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08" s="14">
        <f>(700*Table1[[#This Row],[Tm]]/(100-Table1[[#This Row],[Decimal degree latitude]])+15*Table1[[#This Row],[T-Td]])/(80-Table1[[#This Row],[Average temperature (°C)]])*365</f>
        <v>1885.8220656451881</v>
      </c>
    </row>
    <row r="209" spans="1:23" x14ac:dyDescent="0.25">
      <c r="A209" s="2" t="s">
        <v>240</v>
      </c>
      <c r="B209" s="2" t="s">
        <v>288</v>
      </c>
      <c r="C209" s="2" t="s">
        <v>286</v>
      </c>
      <c r="D209" s="2" t="s">
        <v>249</v>
      </c>
      <c r="E209" s="2">
        <v>1978</v>
      </c>
      <c r="F209" s="2">
        <v>70</v>
      </c>
      <c r="G209" s="2">
        <v>4925</v>
      </c>
      <c r="H209" s="2">
        <v>0.375</v>
      </c>
      <c r="I209" s="2">
        <v>120</v>
      </c>
      <c r="J209" s="2">
        <v>0.65</v>
      </c>
      <c r="K209" s="2">
        <v>1</v>
      </c>
      <c r="L20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09" s="2">
        <f>1000000/1000/9.81/IF(Table1[[#This Row],[Dam height (m)]]="",10,Table1[[#This Row],[Dam height (m)]])*3600</f>
        <v>5242.463958060288</v>
      </c>
      <c r="N209" s="3">
        <f>(Table1[[#This Row],[Reservoir area (km2)]]*1000000*Table1[[#This Row],[Eo (mm/year)]]/1000)/Table1[[#This Row],[Hydroelectricity (MW)]]/8760*Table1[[#This Row],[Water consumption allocation]]/Table1[[#This Row],[CF]]</f>
        <v>1.0351475609568981</v>
      </c>
      <c r="O209" s="2">
        <v>-15.775</v>
      </c>
      <c r="P209" s="2">
        <v>28.116666666666667</v>
      </c>
      <c r="Q209" s="12">
        <v>1138</v>
      </c>
      <c r="R209" s="12">
        <v>21</v>
      </c>
      <c r="S209" s="12">
        <f t="shared" si="51"/>
        <v>13.2</v>
      </c>
      <c r="T209" s="12">
        <f t="shared" si="52"/>
        <v>7.5</v>
      </c>
      <c r="U209" s="12">
        <f>Table1[[#This Row],[Average temperature (°C)]]+0.006*Table1[[#This Row],[Average Country Elevation]]</f>
        <v>27.827999999999999</v>
      </c>
      <c r="V209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09" s="14">
        <f>(700*Table1[[#This Row],[Tm]]/(100-Table1[[#This Row],[Decimal degree latitude]])+15*Table1[[#This Row],[T-Td]])/(80-Table1[[#This Row],[Average temperature (°C)]])*365</f>
        <v>1886.1216678683447</v>
      </c>
    </row>
    <row r="210" spans="1:23" x14ac:dyDescent="0.25">
      <c r="A210" s="2" t="s">
        <v>240</v>
      </c>
      <c r="B210" s="2" t="s">
        <v>289</v>
      </c>
      <c r="C210" s="2"/>
      <c r="D210" s="2"/>
      <c r="E210" s="2"/>
      <c r="F210" s="2">
        <v>100</v>
      </c>
      <c r="G210" s="2"/>
      <c r="H210" s="2"/>
      <c r="I210" s="2">
        <v>110</v>
      </c>
      <c r="J210" s="2">
        <v>0.65</v>
      </c>
      <c r="K210" s="2">
        <v>1</v>
      </c>
      <c r="L2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0" s="2">
        <f>1000000/1000/9.81/IF(Table1[[#This Row],[Dam height (m)]]="",10,Table1[[#This Row],[Dam height (m)]])*3600</f>
        <v>3669.7247706422017</v>
      </c>
      <c r="N21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10" s="2">
        <v>-17.930833</v>
      </c>
      <c r="P210" s="2">
        <v>25.860278000000001</v>
      </c>
      <c r="Q210" s="12">
        <v>1138</v>
      </c>
      <c r="R210" s="12">
        <v>21</v>
      </c>
      <c r="S210" s="12">
        <f t="shared" si="51"/>
        <v>13.2</v>
      </c>
      <c r="T210" s="12">
        <f t="shared" si="52"/>
        <v>7.5</v>
      </c>
      <c r="U210" s="12">
        <f>Table1[[#This Row],[Average temperature (°C)]]+0.006*Table1[[#This Row],[Average Country Elevation]]</f>
        <v>27.827999999999999</v>
      </c>
      <c r="V210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0" s="14">
        <f>(700*Table1[[#This Row],[Tm]]/(100-Table1[[#This Row],[Decimal degree latitude]])+15*Table1[[#This Row],[T-Td]])/(80-Table1[[#This Row],[Average temperature (°C)]])*365</f>
        <v>1867.0936370040242</v>
      </c>
    </row>
    <row r="211" spans="1:23" x14ac:dyDescent="0.25">
      <c r="A211" s="2" t="s">
        <v>240</v>
      </c>
      <c r="B211" s="2" t="s">
        <v>290</v>
      </c>
      <c r="C211" s="2" t="s">
        <v>290</v>
      </c>
      <c r="D211" s="2" t="s">
        <v>249</v>
      </c>
      <c r="E211" s="2">
        <v>1924</v>
      </c>
      <c r="F211" s="2">
        <v>47</v>
      </c>
      <c r="G211" s="2">
        <v>41.4</v>
      </c>
      <c r="H211" s="2">
        <f>Table1[[#This Row],[Reservoir capacity (million m3)]]/Table1[[#This Row],[Dam height (m)]]*2</f>
        <v>1.7617021276595743</v>
      </c>
      <c r="I211" s="2">
        <v>30.5</v>
      </c>
      <c r="J211" s="2">
        <v>0.65</v>
      </c>
      <c r="K211" s="2">
        <v>1</v>
      </c>
      <c r="L2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1" s="2">
        <f>1000000/1000/9.81/IF(Table1[[#This Row],[Dam height (m)]]="",10,Table1[[#This Row],[Dam height (m)]])*3600</f>
        <v>7807.9250439195785</v>
      </c>
      <c r="N211" s="3">
        <f>(Table1[[#This Row],[Reservoir area (km2)]]*1000000*Table1[[#This Row],[Eo (mm/year)]]/1000)/Table1[[#This Row],[Hydroelectricity (MW)]]/8760*Table1[[#This Row],[Water consumption allocation]]/Table1[[#This Row],[CF]]</f>
        <v>19.232092851751148</v>
      </c>
      <c r="O211" s="2">
        <v>-14.699444444444445</v>
      </c>
      <c r="P211" s="2">
        <v>28.821944444444444</v>
      </c>
      <c r="Q211" s="12">
        <v>1138</v>
      </c>
      <c r="R211" s="12">
        <v>21</v>
      </c>
      <c r="S211" s="12">
        <f t="shared" si="51"/>
        <v>13.2</v>
      </c>
      <c r="T211" s="12">
        <f t="shared" si="52"/>
        <v>7.5</v>
      </c>
      <c r="U211" s="12">
        <f>Table1[[#This Row],[Average temperature (°C)]]+0.006*Table1[[#This Row],[Average Country Elevation]]</f>
        <v>27.827999999999999</v>
      </c>
      <c r="V211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1" s="14">
        <f>(700*Table1[[#This Row],[Tm]]/(100-Table1[[#This Row],[Decimal degree latitude]])+15*Table1[[#This Row],[T-Td]])/(80-Table1[[#This Row],[Average temperature (°C)]])*365</f>
        <v>1895.8822929516682</v>
      </c>
    </row>
    <row r="212" spans="1:23" x14ac:dyDescent="0.25">
      <c r="A212" s="2" t="s">
        <v>240</v>
      </c>
      <c r="B212" s="2" t="s">
        <v>291</v>
      </c>
      <c r="C212" s="2" t="s">
        <v>292</v>
      </c>
      <c r="D212" s="2"/>
      <c r="E212" s="2">
        <v>2012</v>
      </c>
      <c r="F212" s="2">
        <v>120</v>
      </c>
      <c r="G212" s="2">
        <v>680</v>
      </c>
      <c r="H212" s="2">
        <f>Table1[[#This Row],[Reservoir capacity (million m3)]]/Table1[[#This Row],[Dam height (m)]]*2</f>
        <v>11.333333333333334</v>
      </c>
      <c r="I212" s="2">
        <v>24.6</v>
      </c>
      <c r="J212" s="2">
        <v>0.65</v>
      </c>
      <c r="K212" s="2">
        <v>1</v>
      </c>
      <c r="L21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2" s="2">
        <f>1000000/1000/9.81/IF(Table1[[#This Row],[Dam height (m)]]="",10,Table1[[#This Row],[Dam height (m)]])*3600</f>
        <v>3058.103975535168</v>
      </c>
      <c r="N212" s="3">
        <f>(Table1[[#This Row],[Reservoir area (km2)]]*1000000*Table1[[#This Row],[Eo (mm/year)]]/1000)/Table1[[#This Row],[Hydroelectricity (MW)]]/8760*Table1[[#This Row],[Water consumption allocation]]/Table1[[#This Row],[CF]]</f>
        <v>153.74374806973532</v>
      </c>
      <c r="O212" s="2">
        <v>-14.2333</v>
      </c>
      <c r="P212" s="2">
        <v>29.113900000000001</v>
      </c>
      <c r="Q212" s="12">
        <v>1138</v>
      </c>
      <c r="R212" s="12">
        <v>21</v>
      </c>
      <c r="S212" s="12">
        <f t="shared" si="51"/>
        <v>13.2</v>
      </c>
      <c r="T212" s="12">
        <f t="shared" si="52"/>
        <v>7.5</v>
      </c>
      <c r="U212" s="12">
        <f>Table1[[#This Row],[Average temperature (°C)]]+0.006*Table1[[#This Row],[Average Country Elevation]]</f>
        <v>27.827999999999999</v>
      </c>
      <c r="V212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2" s="14">
        <f>(700*Table1[[#This Row],[Tm]]/(100-Table1[[#This Row],[Decimal degree latitude]])+15*Table1[[#This Row],[T-Td]])/(80-Table1[[#This Row],[Average temperature (°C)]])*365</f>
        <v>1900.169627393223</v>
      </c>
    </row>
    <row r="213" spans="1:23" x14ac:dyDescent="0.25">
      <c r="A213" s="2" t="s">
        <v>240</v>
      </c>
      <c r="B213" s="2" t="s">
        <v>382</v>
      </c>
      <c r="C213" s="2"/>
      <c r="D213" s="2"/>
      <c r="E213" s="2">
        <v>2015</v>
      </c>
      <c r="F213" s="2">
        <v>8</v>
      </c>
      <c r="G213" s="2"/>
      <c r="H213" s="2"/>
      <c r="I213" s="2">
        <v>10.75</v>
      </c>
      <c r="J213" s="2">
        <v>0.65</v>
      </c>
      <c r="K213" s="2">
        <v>1</v>
      </c>
      <c r="L2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3" s="2">
        <f>1000000/1000/9.81/IF(Table1[[#This Row],[Dam height (m)]]="",10,Table1[[#This Row],[Dam height (m)]])*3600</f>
        <v>45871.559633027522</v>
      </c>
      <c r="N21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13" s="2">
        <v>-8.8017749999999992</v>
      </c>
      <c r="P213" s="2">
        <v>31.338422999999999</v>
      </c>
      <c r="Q213" s="12">
        <v>1138</v>
      </c>
      <c r="R213" s="12">
        <v>21</v>
      </c>
      <c r="S213" s="12">
        <f t="shared" si="51"/>
        <v>13.2</v>
      </c>
      <c r="T213" s="12">
        <f t="shared" si="52"/>
        <v>7.5</v>
      </c>
      <c r="U213" s="12">
        <f>Table1[[#This Row],[Average temperature (°C)]]+0.006*Table1[[#This Row],[Average Country Elevation]]</f>
        <v>27.827999999999999</v>
      </c>
      <c r="V213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3" s="14">
        <f>(700*Table1[[#This Row],[Tm]]/(100-Table1[[#This Row],[Decimal degree latitude]])+15*Table1[[#This Row],[T-Td]])/(80-Table1[[#This Row],[Average temperature (°C)]])*365</f>
        <v>1952.8336425203352</v>
      </c>
    </row>
    <row r="214" spans="1:23" x14ac:dyDescent="0.25">
      <c r="A214" s="2" t="s">
        <v>240</v>
      </c>
      <c r="B214" s="2" t="s">
        <v>293</v>
      </c>
      <c r="C214" s="2"/>
      <c r="D214" s="2"/>
      <c r="E214" s="2"/>
      <c r="F214" s="2">
        <v>8</v>
      </c>
      <c r="G214" s="2"/>
      <c r="H214" s="2"/>
      <c r="I214" s="2">
        <v>12</v>
      </c>
      <c r="J214" s="2">
        <v>0.65</v>
      </c>
      <c r="K214" s="2">
        <v>1</v>
      </c>
      <c r="L2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4" s="2">
        <f>1000000/1000/9.81/IF(Table1[[#This Row],[Dam height (m)]]="",10,Table1[[#This Row],[Dam height (m)]])*3600</f>
        <v>45871.559633027522</v>
      </c>
      <c r="N21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14" s="2">
        <v>-12.989000000000001</v>
      </c>
      <c r="P214" s="2">
        <v>30.865600000000001</v>
      </c>
      <c r="Q214" s="12">
        <v>1138</v>
      </c>
      <c r="R214" s="12">
        <v>21</v>
      </c>
      <c r="S214" s="12">
        <f t="shared" si="51"/>
        <v>13.2</v>
      </c>
      <c r="T214" s="12">
        <f t="shared" si="52"/>
        <v>7.5</v>
      </c>
      <c r="U214" s="12">
        <f>Table1[[#This Row],[Average temperature (°C)]]+0.006*Table1[[#This Row],[Average Country Elevation]]</f>
        <v>27.827999999999999</v>
      </c>
      <c r="V214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4" s="14">
        <f>(700*Table1[[#This Row],[Tm]]/(100-Table1[[#This Row],[Decimal degree latitude]])+15*Table1[[#This Row],[T-Td]])/(80-Table1[[#This Row],[Average temperature (°C)]])*365</f>
        <v>1911.7872456175799</v>
      </c>
    </row>
    <row r="215" spans="1:23" x14ac:dyDescent="0.25">
      <c r="A215" s="2" t="s">
        <v>240</v>
      </c>
      <c r="B215" s="2" t="s">
        <v>294</v>
      </c>
      <c r="C215" s="2"/>
      <c r="D215" s="2"/>
      <c r="E215" s="2"/>
      <c r="F215" s="2">
        <v>8</v>
      </c>
      <c r="G215" s="2"/>
      <c r="H215" s="2"/>
      <c r="I215" s="2">
        <v>6</v>
      </c>
      <c r="J215" s="2">
        <v>0.65</v>
      </c>
      <c r="K215" s="2">
        <v>1</v>
      </c>
      <c r="L2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5" s="2">
        <f>1000000/1000/9.81/IF(Table1[[#This Row],[Dam height (m)]]="",10,Table1[[#This Row],[Dam height (m)]])*3600</f>
        <v>45871.559633027522</v>
      </c>
      <c r="N21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15" s="2">
        <v>-10.105772</v>
      </c>
      <c r="P215" s="2">
        <v>30.916511</v>
      </c>
      <c r="Q215" s="12">
        <v>1138</v>
      </c>
      <c r="R215" s="12">
        <v>21</v>
      </c>
      <c r="S215" s="12">
        <f t="shared" si="51"/>
        <v>13.2</v>
      </c>
      <c r="T215" s="12">
        <f t="shared" si="52"/>
        <v>7.5</v>
      </c>
      <c r="U215" s="12">
        <f>Table1[[#This Row],[Average temperature (°C)]]+0.006*Table1[[#This Row],[Average Country Elevation]]</f>
        <v>27.827999999999999</v>
      </c>
      <c r="V215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5" s="14">
        <f>(700*Table1[[#This Row],[Tm]]/(100-Table1[[#This Row],[Decimal degree latitude]])+15*Table1[[#This Row],[T-Td]])/(80-Table1[[#This Row],[Average temperature (°C)]])*365</f>
        <v>1939.7161322487837</v>
      </c>
    </row>
    <row r="216" spans="1:23" x14ac:dyDescent="0.25">
      <c r="A216" s="2" t="s">
        <v>240</v>
      </c>
      <c r="B216" s="2" t="s">
        <v>295</v>
      </c>
      <c r="C216" s="2"/>
      <c r="D216" s="2"/>
      <c r="E216" s="2"/>
      <c r="F216" s="2">
        <v>8</v>
      </c>
      <c r="G216" s="2"/>
      <c r="H216" s="2"/>
      <c r="I216" s="2">
        <v>1.7</v>
      </c>
      <c r="J216" s="2">
        <v>0.65</v>
      </c>
      <c r="K216" s="2">
        <v>1</v>
      </c>
      <c r="L2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6" s="2">
        <f>1000000/1000/9.81/IF(Table1[[#This Row],[Dam height (m)]]="",10,Table1[[#This Row],[Dam height (m)]])*3600</f>
        <v>45871.559633027522</v>
      </c>
      <c r="N21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O216" s="2">
        <v>-11.123939</v>
      </c>
      <c r="P216" s="2">
        <v>24.192152</v>
      </c>
      <c r="Q216" s="12">
        <v>1138</v>
      </c>
      <c r="R216" s="12">
        <v>21</v>
      </c>
      <c r="S216" s="12">
        <f t="shared" si="51"/>
        <v>13.2</v>
      </c>
      <c r="T216" s="12">
        <f t="shared" si="52"/>
        <v>7.5</v>
      </c>
      <c r="U216" s="12">
        <f>Table1[[#This Row],[Average temperature (°C)]]+0.006*Table1[[#This Row],[Average Country Elevation]]</f>
        <v>27.827999999999999</v>
      </c>
      <c r="V216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W216" s="14">
        <f>(700*Table1[[#This Row],[Tm]]/(100-Table1[[#This Row],[Decimal degree latitude]])+15*Table1[[#This Row],[T-Td]])/(80-Table1[[#This Row],[Average temperature (°C)]])*365</f>
        <v>1929.6879506309704</v>
      </c>
    </row>
    <row r="217" spans="1:23" x14ac:dyDescent="0.25">
      <c r="A217" s="2" t="s">
        <v>239</v>
      </c>
      <c r="B217" s="2" t="s">
        <v>386</v>
      </c>
      <c r="C217" s="2" t="s">
        <v>287</v>
      </c>
      <c r="D217" s="2" t="s">
        <v>249</v>
      </c>
      <c r="E217" s="2">
        <v>1959</v>
      </c>
      <c r="F217" s="2">
        <v>128</v>
      </c>
      <c r="G217" s="2">
        <v>94000</v>
      </c>
      <c r="H217" s="2">
        <v>2550</v>
      </c>
      <c r="I217" s="2">
        <v>988</v>
      </c>
      <c r="J217" s="2">
        <v>0.7</v>
      </c>
      <c r="K217" s="2">
        <v>1</v>
      </c>
      <c r="L2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M217" s="2">
        <f>1000000/1000/9.81/IF(Table1[[#This Row],[Dam height (m)]]="",10,Table1[[#This Row],[Dam height (m)]])*3600</f>
        <v>2866.9724770642201</v>
      </c>
      <c r="N217" s="3">
        <f>(Table1[[#This Row],[Reservoir area (km2)]]*1000000*Table1[[#This Row],[Eo (mm/year)]]/1000)/Table1[[#This Row],[Hydroelectricity (MW)]]/8760*Table1[[#This Row],[Water consumption allocation]]/Table1[[#This Row],[CF]]</f>
        <v>702.50241687148571</v>
      </c>
      <c r="O217" s="2">
        <v>-16.522500000000001</v>
      </c>
      <c r="P217" s="2">
        <v>28.778888888888886</v>
      </c>
      <c r="Q217" s="12">
        <v>961</v>
      </c>
      <c r="R217" s="12">
        <v>19.7</v>
      </c>
      <c r="S217" s="12">
        <f>25.9-13.1</f>
        <v>12.799999999999999</v>
      </c>
      <c r="T217" s="12">
        <f>22.8-14.8</f>
        <v>8</v>
      </c>
      <c r="U217" s="12">
        <f>Table1[[#This Row],[Average temperature (°C)]]+0.006*Table1[[#This Row],[Average Country Elevation]]</f>
        <v>25.466000000000001</v>
      </c>
      <c r="V217" s="12">
        <f>0.0023*Table1[[#This Row],[Average Country Elevation]]+0.37*Table1[[#This Row],[Average temperature (°C)]]+0.53*Table1[[#This Row],[Average Range]]+0.35*Table1[[#This Row],[Average range hot-cold]]-10.9</f>
        <v>8.1833000000000009</v>
      </c>
      <c r="W217" s="14">
        <f>(700*Table1[[#This Row],[Tm]]/(100-Table1[[#This Row],[Decimal degree latitude]])+15*Table1[[#This Row],[T-Td]])/(80-Table1[[#This Row],[Average temperature (°C)]])*365</f>
        <v>1669.0399538874033</v>
      </c>
    </row>
    <row r="218" spans="1:23" x14ac:dyDescent="0.25">
      <c r="A218" s="2" t="s">
        <v>239</v>
      </c>
      <c r="B218" s="2" t="s">
        <v>383</v>
      </c>
      <c r="C218" s="2" t="s">
        <v>297</v>
      </c>
      <c r="D218" s="2" t="s">
        <v>255</v>
      </c>
      <c r="E218" s="2">
        <v>1965</v>
      </c>
      <c r="F218" s="2">
        <v>16</v>
      </c>
      <c r="G218" s="2">
        <v>9.82</v>
      </c>
      <c r="H218" s="2">
        <v>3.45</v>
      </c>
      <c r="I218" s="2">
        <v>13.79</v>
      </c>
      <c r="J218" s="2">
        <v>0.7</v>
      </c>
      <c r="K218" s="2">
        <v>2</v>
      </c>
      <c r="L2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M218" s="2">
        <f>1000000/1000/9.81/IF(Table1[[#This Row],[Dam height (m)]]="",10,Table1[[#This Row],[Dam height (m)]])*3600</f>
        <v>22935.779816513761</v>
      </c>
      <c r="N218" s="3">
        <f>(Table1[[#This Row],[Reservoir area (km2)]]*1000000*Table1[[#This Row],[Eo (mm/year)]]/1000)/Table1[[#This Row],[Hydroelectricity (MW)]]/8760*Table1[[#This Row],[Water consumption allocation]]/Table1[[#This Row],[CF]]</f>
        <v>29.608874176887802</v>
      </c>
      <c r="O218" s="2">
        <v>-21.03638888888889</v>
      </c>
      <c r="P218" s="2">
        <v>31.156944444444441</v>
      </c>
      <c r="Q218" s="12">
        <v>961</v>
      </c>
      <c r="R218" s="12">
        <v>19.7</v>
      </c>
      <c r="S218" s="12">
        <f>25.9-13.1</f>
        <v>12.799999999999999</v>
      </c>
      <c r="T218" s="12">
        <f>22.8-14.8</f>
        <v>8</v>
      </c>
      <c r="U218" s="12">
        <f>Table1[[#This Row],[Average temperature (°C)]]+0.006*Table1[[#This Row],[Average Country Elevation]]</f>
        <v>25.466000000000001</v>
      </c>
      <c r="V218" s="12">
        <f>0.0023*Table1[[#This Row],[Average Country Elevation]]+0.37*Table1[[#This Row],[Average temperature (°C)]]+0.53*Table1[[#This Row],[Average Range]]+0.35*Table1[[#This Row],[Average range hot-cold]]-10.9</f>
        <v>8.1833000000000009</v>
      </c>
      <c r="W218" s="14">
        <f>(700*Table1[[#This Row],[Tm]]/(100-Table1[[#This Row],[Decimal degree latitude]])+15*Table1[[#This Row],[T-Td]])/(80-Table1[[#This Row],[Average temperature (°C)]])*365</f>
        <v>1634.5049555310102</v>
      </c>
    </row>
  </sheetData>
  <sortState xmlns:xlrd2="http://schemas.microsoft.com/office/spreadsheetml/2017/richdata2" ref="A149:C196">
    <sortCondition ref="C149:C196"/>
    <sortCondition ref="A149:A196"/>
  </sortState>
  <phoneticPr fontId="2" type="noConversion"/>
  <conditionalFormatting sqref="A4:A8 A17:A18 A26 A63 A99:A100 A120 A145 A101:G119 D4:D8 A3:G3 D17:D18 D26 D63 D99:D100 D120 A19:G25 D145 A9:G16 A27:G33 A36:G62 C34:G35 A64:G98 A121:G144 I3 I9:M9 N3:N218 E1:H218 A2:N2 K3:M3 J3:J8 I10:I16 K10:M16 J10:J18 I19:M25 I27:I30 K27:M30 I31:M58 I59:I62 K59:M62 I64:I69 K64:M69 J59:J69 I70:M98 J99 I101:I103 K101:M103 I104:M110 I111:I119 K111:M119 I121:I129 K121:M129 J111:J129 I130:M143 I144 K144:M144 J144:J148">
    <cfRule type="containsBlanks" dxfId="34" priority="37">
      <formula>LEN(TRIM(A1))=0</formula>
    </cfRule>
  </conditionalFormatting>
  <conditionalFormatting sqref="E177">
    <cfRule type="containsBlanks" dxfId="33" priority="35">
      <formula>LEN(TRIM(E177))=0</formula>
    </cfRule>
  </conditionalFormatting>
  <conditionalFormatting sqref="E180">
    <cfRule type="containsBlanks" dxfId="32" priority="34">
      <formula>LEN(TRIM(E180))=0</formula>
    </cfRule>
  </conditionalFormatting>
  <conditionalFormatting sqref="E181">
    <cfRule type="containsBlanks" dxfId="31" priority="33">
      <formula>LEN(TRIM(E181))=0</formula>
    </cfRule>
  </conditionalFormatting>
  <conditionalFormatting sqref="E182">
    <cfRule type="containsBlanks" dxfId="30" priority="32">
      <formula>LEN(TRIM(E182))=0</formula>
    </cfRule>
  </conditionalFormatting>
  <conditionalFormatting sqref="E184">
    <cfRule type="containsBlanks" dxfId="29" priority="31">
      <formula>LEN(TRIM(E184))=0</formula>
    </cfRule>
  </conditionalFormatting>
  <conditionalFormatting sqref="E193">
    <cfRule type="containsBlanks" dxfId="28" priority="38">
      <formula>LEN(TRIM(E193))=0</formula>
    </cfRule>
  </conditionalFormatting>
  <conditionalFormatting sqref="H199 G175:G212 F213:F214 G214:G216">
    <cfRule type="containsText" dxfId="27" priority="27" operator="containsText" text="NAPP">
      <formula>NOT(ISERROR(SEARCH("NAPP",F175)))</formula>
    </cfRule>
    <cfRule type="containsText" dxfId="26" priority="28" operator="containsText" text="EAPP">
      <formula>NOT(ISERROR(SEARCH("EAPP",F175)))</formula>
    </cfRule>
    <cfRule type="containsText" dxfId="25" priority="29" operator="containsText" text="CAPP">
      <formula>NOT(ISERROR(SEARCH("CAPP",F175)))</formula>
    </cfRule>
  </conditionalFormatting>
  <conditionalFormatting sqref="C157:D157">
    <cfRule type="containsBlanks" dxfId="24" priority="26">
      <formula>LEN(TRIM(C157))=0</formula>
    </cfRule>
  </conditionalFormatting>
  <hyperlinks>
    <hyperlink ref="X2" r:id="rId1" tooltip="Persistent link using digital object identifier" display="https://doi-org.kuleuven.ezproxy.kuleuven.be/10.1016/0002-1571(77)90007-3" xr:uid="{C914C629-33B6-477B-81B0-247053E0B1E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90DE-CFBC-42CC-B29C-D782C054D4B0}">
  <dimension ref="A1:F5"/>
  <sheetViews>
    <sheetView workbookViewId="0">
      <selection activeCell="G11" sqref="G11"/>
    </sheetView>
  </sheetViews>
  <sheetFormatPr defaultRowHeight="15" x14ac:dyDescent="0.25"/>
  <sheetData>
    <row r="1" spans="1:6" x14ac:dyDescent="0.25">
      <c r="A1" s="13" t="s">
        <v>403</v>
      </c>
    </row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399</v>
      </c>
      <c r="B3">
        <v>1</v>
      </c>
      <c r="C3">
        <v>0.44400000000000001</v>
      </c>
      <c r="D3">
        <v>0.17100000000000001</v>
      </c>
      <c r="E3">
        <v>0.13</v>
      </c>
      <c r="F3">
        <v>0.13</v>
      </c>
    </row>
    <row r="4" spans="1:6" x14ac:dyDescent="0.25">
      <c r="A4" t="s">
        <v>400</v>
      </c>
      <c r="B4">
        <v>1</v>
      </c>
      <c r="C4">
        <v>0.54500000000000004</v>
      </c>
      <c r="D4">
        <v>0.26400000000000001</v>
      </c>
      <c r="E4">
        <v>0.19600000000000001</v>
      </c>
      <c r="F4">
        <v>0.19600000000000001</v>
      </c>
    </row>
    <row r="5" spans="1:6" x14ac:dyDescent="0.25">
      <c r="A5" t="s">
        <v>401</v>
      </c>
      <c r="B5">
        <v>1</v>
      </c>
      <c r="C5">
        <v>0.97299999999999998</v>
      </c>
      <c r="D5">
        <v>0.59399999999999997</v>
      </c>
      <c r="E5">
        <v>0.13100000000000001</v>
      </c>
      <c r="F5">
        <v>0.13100000000000001</v>
      </c>
    </row>
  </sheetData>
  <hyperlinks>
    <hyperlink ref="A1" r:id="rId1" xr:uid="{FB31B7BF-4164-4C2C-B86D-EFB3210094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Dams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2020-02-13T13:45:36Z</dcterms:created>
  <dcterms:modified xsi:type="dcterms:W3CDTF">2020-09-28T15:53:13Z</dcterms:modified>
</cp:coreProperties>
</file>