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60" windowHeight="16230" activeTab="1"/>
  </bookViews>
  <sheets>
    <sheet name="各点位置坐标" sheetId="1" r:id="rId1"/>
    <sheet name="各点角度信息" sheetId="2" r:id="rId2"/>
  </sheets>
  <definedNames>
    <definedName name="_xlnm._FilterDatabase" localSheetId="0" hidden="1">各点位置坐标!$A$1:$E$46</definedName>
    <definedName name="_xlnm._FilterDatabase" localSheetId="1" hidden="1">各点角度信息!$A$1:$Z$46</definedName>
  </definedNames>
  <calcPr calcId="144525"/>
</workbook>
</file>

<file path=xl/sharedStrings.xml><?xml version="1.0" encoding="utf-8"?>
<sst xmlns="http://schemas.openxmlformats.org/spreadsheetml/2006/main" count="205" uniqueCount="98">
  <si>
    <t>面标号</t>
  </si>
  <si>
    <t>点标号</t>
  </si>
  <si>
    <t>x</t>
  </si>
  <si>
    <t>y</t>
  </si>
  <si>
    <t>z</t>
  </si>
  <si>
    <t>说明</t>
  </si>
  <si>
    <t>前部分尺寸/mm</t>
  </si>
  <si>
    <t>长：</t>
  </si>
  <si>
    <t>宽：</t>
  </si>
  <si>
    <t>高：</t>
  </si>
  <si>
    <t>设置的原心为立方体的正中心</t>
  </si>
  <si>
    <t>第3面垂直向外为x正方向，第2面垂直向外为y正方向，第1面垂直向外为z正方向</t>
  </si>
  <si>
    <t>单个点的坐标为激光发射管的正中心</t>
  </si>
  <si>
    <t>距离d1(16进制)</t>
  </si>
  <si>
    <t>距离d1(激光测距)</t>
  </si>
  <si>
    <t>垂直距离d/mm</t>
  </si>
  <si>
    <r>
      <rPr>
        <sz val="11"/>
        <color theme="1"/>
        <rFont val="等线"/>
        <charset val="134"/>
        <scheme val="minor"/>
      </rPr>
      <t>距离d</t>
    </r>
    <r>
      <rPr>
        <sz val="8"/>
        <color theme="1"/>
        <rFont val="等线"/>
        <charset val="134"/>
        <scheme val="minor"/>
      </rPr>
      <t>AB</t>
    </r>
    <r>
      <rPr>
        <sz val="11"/>
        <color theme="1"/>
        <rFont val="等线"/>
        <charset val="134"/>
        <scheme val="minor"/>
      </rPr>
      <t>/mm</t>
    </r>
  </si>
  <si>
    <r>
      <rPr>
        <sz val="11"/>
        <color theme="1"/>
        <rFont val="等线"/>
        <charset val="134"/>
        <scheme val="minor"/>
      </rPr>
      <t>距离d</t>
    </r>
    <r>
      <rPr>
        <sz val="10"/>
        <color theme="1"/>
        <rFont val="等线"/>
        <charset val="134"/>
        <scheme val="minor"/>
      </rPr>
      <t>bc</t>
    </r>
    <r>
      <rPr>
        <sz val="12"/>
        <color theme="1"/>
        <rFont val="等线"/>
        <charset val="134"/>
        <scheme val="minor"/>
      </rPr>
      <t>/mm</t>
    </r>
  </si>
  <si>
    <r>
      <rPr>
        <sz val="11"/>
        <color theme="1"/>
        <rFont val="等线"/>
        <charset val="134"/>
        <scheme val="minor"/>
      </rPr>
      <t>角度</t>
    </r>
    <r>
      <rPr>
        <sz val="11"/>
        <color theme="1"/>
        <rFont val="等线"/>
        <charset val="134"/>
      </rPr>
      <t>α</t>
    </r>
  </si>
  <si>
    <r>
      <rPr>
        <sz val="11"/>
        <color theme="1"/>
        <rFont val="等线"/>
        <charset val="134"/>
        <scheme val="minor"/>
      </rPr>
      <t>角度</t>
    </r>
    <r>
      <rPr>
        <sz val="11"/>
        <color theme="1"/>
        <rFont val="等线"/>
        <charset val="134"/>
      </rPr>
      <t>φ</t>
    </r>
  </si>
  <si>
    <r>
      <rPr>
        <sz val="11"/>
        <color theme="1"/>
        <rFont val="等线"/>
        <charset val="134"/>
        <scheme val="minor"/>
      </rPr>
      <t>角度</t>
    </r>
    <r>
      <rPr>
        <sz val="11"/>
        <color theme="1"/>
        <rFont val="等线"/>
        <charset val="134"/>
      </rPr>
      <t>θ</t>
    </r>
  </si>
  <si>
    <t>坐标变换x</t>
  </si>
  <si>
    <t>坐标变换y</t>
  </si>
  <si>
    <t>坐标变换z</t>
  </si>
  <si>
    <t>验证x</t>
  </si>
  <si>
    <t>验证y</t>
  </si>
  <si>
    <t>验证z</t>
  </si>
  <si>
    <t>06B2</t>
  </si>
  <si>
    <t>x=20.5+d1*sin(θ)</t>
  </si>
  <si>
    <t>y=13.5+d1*sin(φ)</t>
  </si>
  <si>
    <t>z=79+d1*sin(α)</t>
  </si>
  <si>
    <t>06A4</t>
  </si>
  <si>
    <t>x=20.6+d1*sin(θ)</t>
  </si>
  <si>
    <t>y=-1.5+d1*sin(φ)</t>
  </si>
  <si>
    <t>06AB</t>
  </si>
  <si>
    <t>x=20.7+d1*sin(θ)</t>
  </si>
  <si>
    <t>y=-14+d1*sin(φ)</t>
  </si>
  <si>
    <t>06A5</t>
  </si>
  <si>
    <t>x=-0.5+d1*sin(θ)</t>
  </si>
  <si>
    <t>06A7</t>
  </si>
  <si>
    <t>y=-13.5+d1*sin(φ)</t>
  </si>
  <si>
    <t>06AC</t>
  </si>
  <si>
    <t>x=-21.5+d1*sin(θ)</t>
  </si>
  <si>
    <t>06A6</t>
  </si>
  <si>
    <t>x=-20.5+d1*sin(θ)</t>
  </si>
  <si>
    <t>06A9</t>
  </si>
  <si>
    <t>y=14+d1*sin(φ)</t>
  </si>
  <si>
    <t>06AE</t>
  </si>
  <si>
    <t>x=17.5+d1*sin(φ)</t>
  </si>
  <si>
    <t>y=69.5+d1*sin(α)</t>
  </si>
  <si>
    <t>z=26+d1*sin(θ)</t>
  </si>
  <si>
    <t>06A2</t>
  </si>
  <si>
    <t>x=5.5+d1*sin(φ)</t>
  </si>
  <si>
    <t>z=25+d1*sin(θ)</t>
  </si>
  <si>
    <t>06C1</t>
  </si>
  <si>
    <t>x=-9.5+d1*sin(φ)</t>
  </si>
  <si>
    <t>z=5+d1*sin(θ)</t>
  </si>
  <si>
    <t>069D</t>
  </si>
  <si>
    <t>06C0</t>
  </si>
  <si>
    <t>06B9</t>
  </si>
  <si>
    <t>z=-16+d1*sin(θ)</t>
  </si>
  <si>
    <t>06B0</t>
  </si>
  <si>
    <t>06D0</t>
  </si>
  <si>
    <t>06C3</t>
  </si>
  <si>
    <t>x=53.5+d1*sin(α)</t>
  </si>
  <si>
    <t>y=-12.5+d1*sin(φ)</t>
  </si>
  <si>
    <t>z=15.5+d1*sin(θ)</t>
  </si>
  <si>
    <t>y=1.5+d1*sin(φ)</t>
  </si>
  <si>
    <t>z=14+d1*sin(θ)</t>
  </si>
  <si>
    <t>z=15+d1*sin(θ)</t>
  </si>
  <si>
    <t>06BA</t>
  </si>
  <si>
    <t>z=-5+d1*sin(θ)</t>
  </si>
  <si>
    <t>069C</t>
  </si>
  <si>
    <t>z=-27+d1*sin(θ)</t>
  </si>
  <si>
    <t>z=-26+d1*sin(θ)</t>
  </si>
  <si>
    <t>06C5</t>
  </si>
  <si>
    <t>x=16.5+d1*sin(φ)</t>
  </si>
  <si>
    <t>y=-69.5+d1*sin(α)</t>
  </si>
  <si>
    <t>z=16+d1*sin(θ)</t>
  </si>
  <si>
    <t>x=4.5+d1*sin(φ)</t>
  </si>
  <si>
    <t>x=-10.5+d1*sin(φ)</t>
  </si>
  <si>
    <t>067F</t>
  </si>
  <si>
    <t>066B</t>
  </si>
  <si>
    <t>068D</t>
  </si>
  <si>
    <t>068A</t>
  </si>
  <si>
    <t>x=20.5+d1*sin(φ)</t>
  </si>
  <si>
    <t>y=12.5+d1*sin(θ)</t>
  </si>
  <si>
    <t>z=-79+d1*sin(α)</t>
  </si>
  <si>
    <t>x=19.5+d1*sin(φ)</t>
  </si>
  <si>
    <t>y=0.5+d1*sin(θ)</t>
  </si>
  <si>
    <t>67B</t>
  </si>
  <si>
    <t>y=-14.5+d1*sin(θ)</t>
  </si>
  <si>
    <t>67F</t>
  </si>
  <si>
    <t>x=-0.5+d1*sin(φ)</t>
  </si>
  <si>
    <t>66E</t>
  </si>
  <si>
    <t>68B</t>
  </si>
  <si>
    <t>x=-21.5+d1*sin(φ)</t>
  </si>
  <si>
    <t>67A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</si>
</sst>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i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8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8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1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"/>
  <sheetViews>
    <sheetView workbookViewId="0">
      <pane ySplit="1" topLeftCell="A2" activePane="bottomLeft" state="frozen"/>
      <selection/>
      <selection pane="bottomLeft" activeCell="F13" sqref="F13"/>
    </sheetView>
  </sheetViews>
  <sheetFormatPr defaultColWidth="9" defaultRowHeight="14.25"/>
  <cols>
    <col min="7" max="7" width="17.416666666666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>
        <v>139</v>
      </c>
      <c r="J1" s="1" t="s">
        <v>8</v>
      </c>
      <c r="K1" s="1">
        <v>107</v>
      </c>
      <c r="L1" s="1" t="s">
        <v>9</v>
      </c>
      <c r="M1" s="1">
        <v>158</v>
      </c>
    </row>
    <row r="2" spans="1:13">
      <c r="A2" s="1">
        <v>1</v>
      </c>
      <c r="B2" s="1">
        <v>1</v>
      </c>
      <c r="C2" s="1">
        <v>20.5</v>
      </c>
      <c r="D2" s="1">
        <v>13.5</v>
      </c>
      <c r="E2" s="1">
        <v>79</v>
      </c>
      <c r="F2" s="5"/>
      <c r="G2" s="1" t="s">
        <v>10</v>
      </c>
      <c r="H2" s="1"/>
      <c r="I2" s="1"/>
      <c r="J2" s="1"/>
      <c r="K2" s="1"/>
      <c r="L2" s="1"/>
      <c r="M2" s="1"/>
    </row>
    <row r="3" spans="1:13">
      <c r="A3" s="1">
        <v>1</v>
      </c>
      <c r="B3" s="1">
        <v>2</v>
      </c>
      <c r="C3" s="1">
        <v>20.5</v>
      </c>
      <c r="D3" s="1">
        <v>-1.5</v>
      </c>
      <c r="E3" s="1">
        <v>79</v>
      </c>
      <c r="F3" s="5"/>
      <c r="G3" s="1" t="s">
        <v>11</v>
      </c>
      <c r="H3" s="1"/>
      <c r="I3" s="1"/>
      <c r="J3" s="1"/>
      <c r="K3" s="1"/>
      <c r="L3" s="1"/>
      <c r="M3" s="1"/>
    </row>
    <row r="4" spans="1:13">
      <c r="A4" s="1">
        <v>1</v>
      </c>
      <c r="B4" s="1">
        <v>3</v>
      </c>
      <c r="C4" s="1">
        <v>20.5</v>
      </c>
      <c r="D4" s="1">
        <v>-14</v>
      </c>
      <c r="E4" s="1">
        <v>79</v>
      </c>
      <c r="F4" s="5"/>
      <c r="G4" s="6" t="s">
        <v>12</v>
      </c>
      <c r="H4" s="7"/>
      <c r="I4" s="7"/>
      <c r="J4" s="7"/>
      <c r="K4" s="7"/>
      <c r="L4" s="7"/>
      <c r="M4" s="5"/>
    </row>
    <row r="5" spans="1:5">
      <c r="A5" s="1">
        <v>1</v>
      </c>
      <c r="B5" s="1">
        <v>4</v>
      </c>
      <c r="C5" s="1">
        <v>-0.5</v>
      </c>
      <c r="D5" s="1">
        <v>13.5</v>
      </c>
      <c r="E5" s="1">
        <v>79</v>
      </c>
    </row>
    <row r="6" spans="1:5">
      <c r="A6" s="1">
        <v>1</v>
      </c>
      <c r="B6" s="1">
        <v>5</v>
      </c>
      <c r="C6" s="1">
        <v>-0.5</v>
      </c>
      <c r="D6" s="1">
        <v>-1.5</v>
      </c>
      <c r="E6" s="1">
        <v>79</v>
      </c>
    </row>
    <row r="7" spans="1:5">
      <c r="A7" s="1">
        <v>1</v>
      </c>
      <c r="B7" s="1">
        <v>6</v>
      </c>
      <c r="C7" s="1">
        <v>-0.5</v>
      </c>
      <c r="D7" s="1">
        <v>-13.5</v>
      </c>
      <c r="E7" s="1">
        <v>79</v>
      </c>
    </row>
    <row r="8" spans="1:5">
      <c r="A8" s="1">
        <v>1</v>
      </c>
      <c r="B8" s="1">
        <v>7</v>
      </c>
      <c r="C8" s="1">
        <v>-21.5</v>
      </c>
      <c r="D8" s="1">
        <v>13.5</v>
      </c>
      <c r="E8" s="1">
        <v>79</v>
      </c>
    </row>
    <row r="9" spans="1:5">
      <c r="A9" s="1">
        <v>1</v>
      </c>
      <c r="B9" s="1">
        <v>8</v>
      </c>
      <c r="C9" s="1">
        <v>-20.5</v>
      </c>
      <c r="D9" s="1">
        <v>-1.5</v>
      </c>
      <c r="E9" s="1">
        <v>79</v>
      </c>
    </row>
    <row r="10" spans="1:5">
      <c r="A10" s="1">
        <v>1</v>
      </c>
      <c r="B10" s="1">
        <v>9</v>
      </c>
      <c r="C10" s="1">
        <v>-21.5</v>
      </c>
      <c r="D10" s="1">
        <v>-14</v>
      </c>
      <c r="E10" s="1">
        <v>79</v>
      </c>
    </row>
    <row r="11" spans="1:5">
      <c r="A11" s="1">
        <v>2</v>
      </c>
      <c r="B11" s="1">
        <v>1</v>
      </c>
      <c r="C11" s="1">
        <v>17.5</v>
      </c>
      <c r="D11" s="1">
        <v>69.5</v>
      </c>
      <c r="E11" s="1">
        <v>26</v>
      </c>
    </row>
    <row r="12" spans="1:5">
      <c r="A12" s="1">
        <v>2</v>
      </c>
      <c r="B12" s="1">
        <v>2</v>
      </c>
      <c r="C12" s="1">
        <v>5.5</v>
      </c>
      <c r="D12" s="1">
        <v>69.5</v>
      </c>
      <c r="E12" s="1">
        <v>25</v>
      </c>
    </row>
    <row r="13" spans="1:5">
      <c r="A13" s="1">
        <v>2</v>
      </c>
      <c r="B13" s="1">
        <v>3</v>
      </c>
      <c r="C13" s="1">
        <v>-9.5</v>
      </c>
      <c r="D13" s="1">
        <v>69.5</v>
      </c>
      <c r="E13" s="1">
        <v>26</v>
      </c>
    </row>
    <row r="14" spans="1:5">
      <c r="A14" s="1">
        <v>2</v>
      </c>
      <c r="B14" s="1">
        <v>4</v>
      </c>
      <c r="C14" s="1">
        <v>17.5</v>
      </c>
      <c r="D14" s="1">
        <v>69.5</v>
      </c>
      <c r="E14" s="1">
        <v>5</v>
      </c>
    </row>
    <row r="15" spans="1:5">
      <c r="A15" s="1">
        <v>2</v>
      </c>
      <c r="B15" s="1">
        <v>5</v>
      </c>
      <c r="C15" s="1">
        <v>5.5</v>
      </c>
      <c r="D15" s="1">
        <v>69.5</v>
      </c>
      <c r="E15" s="1">
        <v>5</v>
      </c>
    </row>
    <row r="16" spans="1:5">
      <c r="A16" s="1">
        <v>2</v>
      </c>
      <c r="B16" s="1">
        <v>6</v>
      </c>
      <c r="C16" s="1">
        <v>-9.5</v>
      </c>
      <c r="D16" s="1">
        <v>69.5</v>
      </c>
      <c r="E16" s="1">
        <v>5</v>
      </c>
    </row>
    <row r="17" spans="1:5">
      <c r="A17" s="1">
        <v>2</v>
      </c>
      <c r="B17" s="1">
        <v>7</v>
      </c>
      <c r="C17" s="1">
        <v>17.5</v>
      </c>
      <c r="D17" s="1">
        <v>69.5</v>
      </c>
      <c r="E17" s="1">
        <v>-16</v>
      </c>
    </row>
    <row r="18" spans="1:5">
      <c r="A18" s="1">
        <v>2</v>
      </c>
      <c r="B18" s="1">
        <v>8</v>
      </c>
      <c r="C18" s="1">
        <v>5.5</v>
      </c>
      <c r="D18" s="1">
        <v>69.5</v>
      </c>
      <c r="E18" s="1">
        <v>-16</v>
      </c>
    </row>
    <row r="19" spans="1:5">
      <c r="A19" s="1">
        <v>2</v>
      </c>
      <c r="B19" s="1">
        <v>9</v>
      </c>
      <c r="C19" s="1">
        <v>-9.5</v>
      </c>
      <c r="D19" s="1">
        <v>69.5</v>
      </c>
      <c r="E19" s="1">
        <v>-16</v>
      </c>
    </row>
    <row r="20" spans="1:5">
      <c r="A20" s="1">
        <v>3</v>
      </c>
      <c r="B20" s="1">
        <v>1</v>
      </c>
      <c r="C20" s="1">
        <v>53.5</v>
      </c>
      <c r="D20" s="1">
        <v>-12.5</v>
      </c>
      <c r="E20" s="1">
        <v>15.5</v>
      </c>
    </row>
    <row r="21" spans="1:5">
      <c r="A21" s="1">
        <v>3</v>
      </c>
      <c r="B21" s="1">
        <v>2</v>
      </c>
      <c r="C21" s="1">
        <v>53.5</v>
      </c>
      <c r="D21" s="1">
        <v>1.5</v>
      </c>
      <c r="E21" s="1">
        <v>14</v>
      </c>
    </row>
    <row r="22" spans="1:5">
      <c r="A22" s="1">
        <v>3</v>
      </c>
      <c r="B22" s="1">
        <v>3</v>
      </c>
      <c r="C22" s="1">
        <v>53.5</v>
      </c>
      <c r="D22" s="1">
        <v>13.5</v>
      </c>
      <c r="E22" s="1">
        <v>15</v>
      </c>
    </row>
    <row r="23" spans="1:5">
      <c r="A23" s="1">
        <v>3</v>
      </c>
      <c r="B23" s="1">
        <v>4</v>
      </c>
      <c r="C23" s="1">
        <v>53.5</v>
      </c>
      <c r="D23" s="1">
        <v>-12.5</v>
      </c>
      <c r="E23" s="1">
        <v>-5</v>
      </c>
    </row>
    <row r="24" spans="1:5">
      <c r="A24" s="1">
        <v>3</v>
      </c>
      <c r="B24" s="1">
        <v>5</v>
      </c>
      <c r="C24" s="1">
        <v>53.5</v>
      </c>
      <c r="D24" s="1">
        <v>1.5</v>
      </c>
      <c r="E24" s="1">
        <v>-5</v>
      </c>
    </row>
    <row r="25" spans="1:5">
      <c r="A25" s="1">
        <v>3</v>
      </c>
      <c r="B25" s="1">
        <v>6</v>
      </c>
      <c r="C25" s="1">
        <v>53.5</v>
      </c>
      <c r="D25" s="1">
        <v>13.5</v>
      </c>
      <c r="E25" s="1">
        <v>-5</v>
      </c>
    </row>
    <row r="26" spans="1:5">
      <c r="A26" s="1">
        <v>3</v>
      </c>
      <c r="B26" s="1">
        <v>7</v>
      </c>
      <c r="C26" s="1">
        <v>53.5</v>
      </c>
      <c r="D26" s="1">
        <v>-12.5</v>
      </c>
      <c r="E26" s="1">
        <v>-27</v>
      </c>
    </row>
    <row r="27" spans="1:5">
      <c r="A27" s="1">
        <v>3</v>
      </c>
      <c r="B27" s="1">
        <v>8</v>
      </c>
      <c r="C27" s="1">
        <v>53.5</v>
      </c>
      <c r="D27" s="1">
        <v>1.5</v>
      </c>
      <c r="E27" s="1">
        <v>-26</v>
      </c>
    </row>
    <row r="28" spans="1:5">
      <c r="A28" s="1">
        <v>3</v>
      </c>
      <c r="B28" s="1">
        <v>9</v>
      </c>
      <c r="C28" s="1">
        <v>53.5</v>
      </c>
      <c r="D28" s="1">
        <v>13.5</v>
      </c>
      <c r="E28" s="1">
        <v>-27</v>
      </c>
    </row>
    <row r="29" spans="1:5">
      <c r="A29" s="1">
        <v>4</v>
      </c>
      <c r="B29" s="1">
        <v>1</v>
      </c>
      <c r="C29" s="1">
        <v>16.5</v>
      </c>
      <c r="D29" s="1">
        <v>-69.5</v>
      </c>
      <c r="E29" s="1">
        <v>16</v>
      </c>
    </row>
    <row r="30" spans="1:5">
      <c r="A30" s="1">
        <v>4</v>
      </c>
      <c r="B30" s="1">
        <v>2</v>
      </c>
      <c r="C30" s="1">
        <v>4.5</v>
      </c>
      <c r="D30" s="1">
        <v>-69.5</v>
      </c>
      <c r="E30" s="1">
        <v>15</v>
      </c>
    </row>
    <row r="31" spans="1:5">
      <c r="A31" s="1">
        <v>4</v>
      </c>
      <c r="B31" s="1">
        <v>3</v>
      </c>
      <c r="C31" s="1">
        <v>-10.5</v>
      </c>
      <c r="D31" s="1">
        <v>-69.5</v>
      </c>
      <c r="E31" s="1">
        <v>16</v>
      </c>
    </row>
    <row r="32" spans="1:5">
      <c r="A32" s="1">
        <v>4</v>
      </c>
      <c r="B32" s="1">
        <v>4</v>
      </c>
      <c r="C32" s="1">
        <v>16.5</v>
      </c>
      <c r="D32" s="1">
        <v>-69.5</v>
      </c>
      <c r="E32" s="1">
        <v>-5</v>
      </c>
    </row>
    <row r="33" spans="1:5">
      <c r="A33" s="1">
        <v>4</v>
      </c>
      <c r="B33" s="1">
        <v>5</v>
      </c>
      <c r="C33" s="1">
        <v>4.5</v>
      </c>
      <c r="D33" s="1">
        <v>-69.5</v>
      </c>
      <c r="E33" s="1">
        <v>-5</v>
      </c>
    </row>
    <row r="34" spans="1:5">
      <c r="A34" s="1">
        <v>4</v>
      </c>
      <c r="B34" s="1">
        <v>6</v>
      </c>
      <c r="C34" s="1">
        <v>-10.5</v>
      </c>
      <c r="D34" s="1">
        <v>-69.5</v>
      </c>
      <c r="E34" s="1">
        <v>-5</v>
      </c>
    </row>
    <row r="35" spans="1:5">
      <c r="A35" s="1">
        <v>4</v>
      </c>
      <c r="B35" s="1">
        <v>7</v>
      </c>
      <c r="C35" s="1">
        <v>16.5</v>
      </c>
      <c r="D35" s="1">
        <v>-69.5</v>
      </c>
      <c r="E35" s="1">
        <v>-26</v>
      </c>
    </row>
    <row r="36" spans="1:5">
      <c r="A36" s="1">
        <v>4</v>
      </c>
      <c r="B36" s="1">
        <v>8</v>
      </c>
      <c r="C36" s="1">
        <v>4.5</v>
      </c>
      <c r="D36" s="1">
        <v>-69.5</v>
      </c>
      <c r="E36" s="1">
        <v>-26</v>
      </c>
    </row>
    <row r="37" spans="1:5">
      <c r="A37" s="1">
        <v>4</v>
      </c>
      <c r="B37" s="1">
        <v>9</v>
      </c>
      <c r="C37" s="1">
        <v>-10.5</v>
      </c>
      <c r="D37" s="1">
        <v>-69.5</v>
      </c>
      <c r="E37" s="1">
        <v>-26</v>
      </c>
    </row>
    <row r="38" spans="1:5">
      <c r="A38" s="1">
        <v>5</v>
      </c>
      <c r="B38" s="1">
        <v>1</v>
      </c>
      <c r="C38" s="1">
        <v>20.5</v>
      </c>
      <c r="D38" s="1">
        <v>12.5</v>
      </c>
      <c r="E38" s="1">
        <v>-79</v>
      </c>
    </row>
    <row r="39" spans="1:5">
      <c r="A39" s="1">
        <v>5</v>
      </c>
      <c r="B39" s="1">
        <v>2</v>
      </c>
      <c r="C39" s="1">
        <v>19.5</v>
      </c>
      <c r="D39" s="1">
        <v>0.5</v>
      </c>
      <c r="E39" s="1">
        <v>-79</v>
      </c>
    </row>
    <row r="40" spans="1:5">
      <c r="A40" s="1">
        <v>5</v>
      </c>
      <c r="B40" s="1">
        <v>3</v>
      </c>
      <c r="C40" s="1">
        <v>20.5</v>
      </c>
      <c r="D40" s="1">
        <v>-14.5</v>
      </c>
      <c r="E40" s="1">
        <v>-79</v>
      </c>
    </row>
    <row r="41" spans="1:5">
      <c r="A41" s="1">
        <v>5</v>
      </c>
      <c r="B41" s="1">
        <v>4</v>
      </c>
      <c r="C41" s="1">
        <v>-0.5</v>
      </c>
      <c r="D41" s="1">
        <v>12.5</v>
      </c>
      <c r="E41" s="1">
        <v>-79</v>
      </c>
    </row>
    <row r="42" spans="1:5">
      <c r="A42" s="1">
        <v>5</v>
      </c>
      <c r="B42" s="1">
        <v>5</v>
      </c>
      <c r="C42" s="1">
        <v>-0.5</v>
      </c>
      <c r="D42" s="1">
        <v>0.5</v>
      </c>
      <c r="E42" s="1">
        <v>-79</v>
      </c>
    </row>
    <row r="43" spans="1:5">
      <c r="A43" s="1">
        <v>5</v>
      </c>
      <c r="B43" s="1">
        <v>6</v>
      </c>
      <c r="C43" s="1">
        <v>-0.5</v>
      </c>
      <c r="D43" s="1">
        <v>-14.5</v>
      </c>
      <c r="E43" s="1">
        <v>-79</v>
      </c>
    </row>
    <row r="44" spans="1:5">
      <c r="A44" s="1">
        <v>5</v>
      </c>
      <c r="B44" s="1">
        <v>7</v>
      </c>
      <c r="C44" s="1">
        <v>-21.5</v>
      </c>
      <c r="D44" s="1">
        <v>12.5</v>
      </c>
      <c r="E44" s="1">
        <v>-79</v>
      </c>
    </row>
    <row r="45" spans="1:5">
      <c r="A45" s="1">
        <v>5</v>
      </c>
      <c r="B45" s="1">
        <v>8</v>
      </c>
      <c r="C45" s="1">
        <v>-21.5</v>
      </c>
      <c r="D45" s="1">
        <v>0.5</v>
      </c>
      <c r="E45" s="1">
        <v>-79</v>
      </c>
    </row>
    <row r="46" spans="1:5">
      <c r="A46" s="1">
        <v>5</v>
      </c>
      <c r="B46" s="1">
        <v>9</v>
      </c>
      <c r="C46" s="1">
        <v>-21.5</v>
      </c>
      <c r="D46" s="1">
        <v>-14.5</v>
      </c>
      <c r="E46" s="1">
        <v>-79</v>
      </c>
    </row>
  </sheetData>
  <autoFilter ref="A1:E46">
    <extLst/>
  </autoFilter>
  <mergeCells count="4">
    <mergeCell ref="G2:M2"/>
    <mergeCell ref="G3:M3"/>
    <mergeCell ref="G4:M4"/>
    <mergeCell ref="F1:F4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2"/>
  <sheetViews>
    <sheetView tabSelected="1" zoomScale="115" zoomScaleNormal="115" topLeftCell="G1" workbookViewId="0">
      <pane ySplit="1" topLeftCell="A2" activePane="bottomLeft" state="frozen"/>
      <selection/>
      <selection pane="bottomLeft" activeCell="Q17" sqref="Q17"/>
    </sheetView>
  </sheetViews>
  <sheetFormatPr defaultColWidth="9" defaultRowHeight="14.25"/>
  <cols>
    <col min="4" max="4" width="19.75" customWidth="1"/>
    <col min="5" max="7" width="15.4166666666667" customWidth="1"/>
    <col min="8" max="12" width="8.66666666666667" customWidth="1"/>
    <col min="13" max="13" width="22.3333333333333" customWidth="1"/>
    <col min="14" max="14" width="15.4166666666667" customWidth="1"/>
    <col min="15" max="15" width="16.75" customWidth="1"/>
    <col min="16" max="16" width="25.75" customWidth="1"/>
    <col min="17" max="17" width="30.1666666666667" customWidth="1"/>
    <col min="18" max="18" width="27" customWidth="1"/>
    <col min="19" max="21" width="18.5833333333333" customWidth="1"/>
  </cols>
  <sheetData>
    <row r="1" ht="15.75" spans="1:21">
      <c r="A1" s="1" t="s">
        <v>0</v>
      </c>
      <c r="B1" s="1" t="s">
        <v>1</v>
      </c>
      <c r="C1" s="2" t="s">
        <v>13</v>
      </c>
      <c r="D1" s="2" t="s">
        <v>14</v>
      </c>
      <c r="E1" s="3" t="s">
        <v>15</v>
      </c>
      <c r="F1" s="3" t="s">
        <v>16</v>
      </c>
      <c r="G1" s="3" t="s">
        <v>17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18</v>
      </c>
      <c r="N1" s="3" t="s">
        <v>19</v>
      </c>
      <c r="O1" s="3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</row>
    <row r="2" spans="1:21">
      <c r="A2" s="1">
        <v>1</v>
      </c>
      <c r="B2" s="1">
        <v>1</v>
      </c>
      <c r="C2" s="1" t="s">
        <v>27</v>
      </c>
      <c r="D2" s="1">
        <f>HEX2DEC(C2)</f>
        <v>1714</v>
      </c>
      <c r="E2" s="1">
        <v>1701</v>
      </c>
      <c r="F2" s="1">
        <v>174</v>
      </c>
      <c r="G2" s="1">
        <v>165</v>
      </c>
      <c r="H2" s="1">
        <v>1</v>
      </c>
      <c r="I2" s="1">
        <v>1</v>
      </c>
      <c r="J2" s="1">
        <v>20.5</v>
      </c>
      <c r="K2" s="1">
        <v>13.5</v>
      </c>
      <c r="L2" s="1">
        <v>79</v>
      </c>
      <c r="M2" s="1">
        <f>90-DEGREES(ACOS(E2/D2))</f>
        <v>82.9387957192253</v>
      </c>
      <c r="N2" s="1">
        <f>DEGREES(ASIN((G2-(K2-K6))/D2))</f>
        <v>5.02063905261543</v>
      </c>
      <c r="O2" s="1">
        <f>90-DEGREES(ACOS((F2-(J2-J6))/D2))</f>
        <v>5.1213174525188</v>
      </c>
      <c r="P2" s="1" t="s">
        <v>28</v>
      </c>
      <c r="Q2" s="1" t="s">
        <v>29</v>
      </c>
      <c r="R2" s="1" t="s">
        <v>30</v>
      </c>
      <c r="S2" s="1">
        <f>20.5+D2*SIN(RADIANS(O2))</f>
        <v>173.5</v>
      </c>
      <c r="T2" s="1">
        <f>13.5+D2*SIN(RADIANS(N2))</f>
        <v>163.5</v>
      </c>
      <c r="U2" s="1">
        <f>79+D2*SIN(RADIANS(M2))</f>
        <v>1780</v>
      </c>
    </row>
    <row r="3" spans="1:21">
      <c r="A3" s="1">
        <v>1</v>
      </c>
      <c r="B3" s="1">
        <v>2</v>
      </c>
      <c r="C3" s="1" t="s">
        <v>31</v>
      </c>
      <c r="D3" s="1">
        <f t="shared" ref="D3:E46" si="0">HEX2DEC(C3)</f>
        <v>1700</v>
      </c>
      <c r="E3" s="1">
        <v>1701</v>
      </c>
      <c r="F3" s="1">
        <v>187</v>
      </c>
      <c r="G3" s="1">
        <v>5</v>
      </c>
      <c r="H3" s="1">
        <v>1</v>
      </c>
      <c r="I3" s="1">
        <v>2</v>
      </c>
      <c r="J3" s="1">
        <v>20.5</v>
      </c>
      <c r="K3" s="1">
        <v>-1.5</v>
      </c>
      <c r="L3" s="1">
        <v>79</v>
      </c>
      <c r="M3" s="1">
        <f>90</f>
        <v>90</v>
      </c>
      <c r="N3" s="1">
        <f>DEGREES(ASIN((G3-(K3-K6))/D3))</f>
        <v>0.168517241528752</v>
      </c>
      <c r="O3" s="1">
        <f>90-DEGREES(ACOS((F3-(J3-J6))/D3))</f>
        <v>5.60369368370216</v>
      </c>
      <c r="P3" s="1" t="s">
        <v>32</v>
      </c>
      <c r="Q3" s="1" t="s">
        <v>33</v>
      </c>
      <c r="R3" s="1" t="s">
        <v>30</v>
      </c>
      <c r="S3" s="1">
        <f>20.6+D3*SIN(RADIANS(O3))</f>
        <v>186.6</v>
      </c>
      <c r="T3" s="1">
        <f>-1.5+D3*SIN(RADIANS(N3))</f>
        <v>3.5</v>
      </c>
      <c r="U3" s="1">
        <f t="shared" ref="U3:U11" si="1">79+D3*SIN(RADIANS(M3))</f>
        <v>1779</v>
      </c>
    </row>
    <row r="4" spans="1:21">
      <c r="A4" s="1">
        <v>1</v>
      </c>
      <c r="B4" s="1">
        <v>3</v>
      </c>
      <c r="C4" s="1" t="s">
        <v>34</v>
      </c>
      <c r="D4" s="1">
        <f t="shared" si="0"/>
        <v>1707</v>
      </c>
      <c r="E4" s="1">
        <v>1701</v>
      </c>
      <c r="F4" s="1">
        <v>183</v>
      </c>
      <c r="G4" s="1">
        <v>-212</v>
      </c>
      <c r="H4" s="1">
        <v>1</v>
      </c>
      <c r="I4" s="1">
        <v>3</v>
      </c>
      <c r="J4" s="1">
        <v>20.5</v>
      </c>
      <c r="K4" s="1">
        <v>-14</v>
      </c>
      <c r="L4" s="1">
        <v>79</v>
      </c>
      <c r="M4" s="1">
        <f t="shared" ref="M4:M10" si="2">90-DEGREES(ACOS(E4/D4))</f>
        <v>85.1946637026532</v>
      </c>
      <c r="N4" s="1">
        <f>DEGREES(ASIN((G4-(K4-K6))/D4))</f>
        <v>-6.7115939137616</v>
      </c>
      <c r="O4" s="1">
        <f>90-DEGREES(ACOS((F4-(J4-J6))/D4))</f>
        <v>5.44575641999292</v>
      </c>
      <c r="P4" s="1" t="s">
        <v>35</v>
      </c>
      <c r="Q4" s="1" t="s">
        <v>36</v>
      </c>
      <c r="R4" s="1" t="s">
        <v>30</v>
      </c>
      <c r="S4" s="1">
        <f>20.7+D4*SIN(RADIANS(O4))</f>
        <v>182.7</v>
      </c>
      <c r="T4" s="1">
        <f>-14+D4*SIN(RADIANS(N4))</f>
        <v>-213.5</v>
      </c>
      <c r="U4" s="1">
        <f t="shared" si="1"/>
        <v>1780</v>
      </c>
    </row>
    <row r="5" spans="1:21">
      <c r="A5" s="1">
        <v>1</v>
      </c>
      <c r="B5" s="1">
        <v>4</v>
      </c>
      <c r="C5" s="1" t="s">
        <v>37</v>
      </c>
      <c r="D5" s="1">
        <f t="shared" si="0"/>
        <v>1701</v>
      </c>
      <c r="E5" s="1">
        <v>1701</v>
      </c>
      <c r="F5" s="1">
        <v>2</v>
      </c>
      <c r="G5" s="1">
        <v>162</v>
      </c>
      <c r="H5" s="1">
        <v>1</v>
      </c>
      <c r="I5" s="1">
        <v>4</v>
      </c>
      <c r="J5" s="1">
        <v>-0.5</v>
      </c>
      <c r="K5" s="1">
        <v>13.5</v>
      </c>
      <c r="L5" s="1">
        <v>79</v>
      </c>
      <c r="M5" s="1">
        <f t="shared" si="2"/>
        <v>90</v>
      </c>
      <c r="N5" s="1">
        <f>DEGREES(ASIN((G5-(K5-K6))/D5))</f>
        <v>4.95767118363245</v>
      </c>
      <c r="O5" s="1">
        <f>90-DEGREES(ACOS((F5-(J5-J6))/D5))</f>
        <v>0.0673671872011425</v>
      </c>
      <c r="P5" s="1" t="s">
        <v>38</v>
      </c>
      <c r="Q5" s="1" t="s">
        <v>29</v>
      </c>
      <c r="R5" s="1" t="s">
        <v>30</v>
      </c>
      <c r="S5" s="1">
        <f>-0.5+D5*SIN(RADIANS(O5))</f>
        <v>1.49999999999991</v>
      </c>
      <c r="T5" s="1">
        <f t="shared" ref="T3:T10" si="3">13.5+D5*SIN(RADIANS(N5))</f>
        <v>160.5</v>
      </c>
      <c r="U5" s="1">
        <f t="shared" si="1"/>
        <v>1780</v>
      </c>
    </row>
    <row r="6" spans="1:21">
      <c r="A6" s="1">
        <v>1</v>
      </c>
      <c r="B6" s="1">
        <v>5</v>
      </c>
      <c r="C6" s="1" t="s">
        <v>37</v>
      </c>
      <c r="D6" s="1">
        <f>HEX2DEC(C6)</f>
        <v>1701</v>
      </c>
      <c r="E6" s="1">
        <v>1701</v>
      </c>
      <c r="F6" s="1">
        <v>0</v>
      </c>
      <c r="G6" s="1">
        <v>0</v>
      </c>
      <c r="H6" s="1">
        <v>1</v>
      </c>
      <c r="I6" s="1">
        <v>5</v>
      </c>
      <c r="J6" s="1">
        <v>-0.5</v>
      </c>
      <c r="K6" s="1">
        <v>-1.5</v>
      </c>
      <c r="L6" s="1">
        <v>79</v>
      </c>
      <c r="M6" s="1">
        <f t="shared" si="2"/>
        <v>90</v>
      </c>
      <c r="N6" s="1">
        <f>DEGREES(ASIN((G6-(K6-K6))/D6))</f>
        <v>0</v>
      </c>
      <c r="O6" s="1">
        <f>90-DEGREES(ACOS((F6-(J6-J6))/D6))</f>
        <v>0</v>
      </c>
      <c r="P6" s="1" t="s">
        <v>38</v>
      </c>
      <c r="Q6" s="1" t="s">
        <v>33</v>
      </c>
      <c r="R6" s="1" t="s">
        <v>30</v>
      </c>
      <c r="S6" s="1">
        <f>-0.5+D6*SIN(RADIANS(O6))</f>
        <v>-0.5</v>
      </c>
      <c r="T6" s="1">
        <f>-1.5+D6*SIN(RADIANS(N6))</f>
        <v>-1.5</v>
      </c>
      <c r="U6" s="1">
        <f t="shared" si="1"/>
        <v>1780</v>
      </c>
    </row>
    <row r="7" spans="1:21">
      <c r="A7" s="1">
        <v>1</v>
      </c>
      <c r="B7" s="1">
        <v>6</v>
      </c>
      <c r="C7" s="1" t="s">
        <v>39</v>
      </c>
      <c r="D7" s="1">
        <f t="shared" si="0"/>
        <v>1703</v>
      </c>
      <c r="E7" s="1">
        <v>1701</v>
      </c>
      <c r="F7" s="1">
        <v>20</v>
      </c>
      <c r="G7" s="1">
        <v>-218</v>
      </c>
      <c r="H7" s="1">
        <v>1</v>
      </c>
      <c r="I7" s="1">
        <v>6</v>
      </c>
      <c r="J7" s="1">
        <v>-0.5</v>
      </c>
      <c r="K7" s="1">
        <v>-13.5</v>
      </c>
      <c r="L7" s="1">
        <v>79</v>
      </c>
      <c r="M7" s="1">
        <f t="shared" si="2"/>
        <v>87.2229236744032</v>
      </c>
      <c r="N7" s="1">
        <f>DEGREES(ASIN((G7-(K7-K6))/D7))</f>
        <v>-6.94768366375471</v>
      </c>
      <c r="O7" s="1">
        <f>90-DEGREES(ACOS((F7-(J7-J6))/D7))</f>
        <v>0.672896026356653</v>
      </c>
      <c r="P7" s="1" t="s">
        <v>38</v>
      </c>
      <c r="Q7" s="1" t="s">
        <v>40</v>
      </c>
      <c r="R7" s="1" t="s">
        <v>30</v>
      </c>
      <c r="S7" s="1">
        <f>-0.5+D7*SIN(RADIANS(O7))</f>
        <v>19.4999999999999</v>
      </c>
      <c r="T7" s="1">
        <f>-13.5+D7*SIN(RADIANS(N7))</f>
        <v>-219.5</v>
      </c>
      <c r="U7" s="1">
        <f t="shared" si="1"/>
        <v>1780</v>
      </c>
    </row>
    <row r="8" spans="1:21">
      <c r="A8" s="1">
        <v>1</v>
      </c>
      <c r="B8" s="1">
        <v>7</v>
      </c>
      <c r="C8" s="1" t="s">
        <v>41</v>
      </c>
      <c r="D8" s="1">
        <f t="shared" si="0"/>
        <v>1708</v>
      </c>
      <c r="E8" s="1">
        <v>1701</v>
      </c>
      <c r="F8" s="1">
        <v>-165</v>
      </c>
      <c r="G8" s="1">
        <v>160</v>
      </c>
      <c r="H8" s="1">
        <v>1</v>
      </c>
      <c r="I8" s="1">
        <v>7</v>
      </c>
      <c r="J8" s="1">
        <v>-21.5</v>
      </c>
      <c r="K8" s="1">
        <v>13.5</v>
      </c>
      <c r="L8" s="1">
        <v>79</v>
      </c>
      <c r="M8" s="1">
        <f t="shared" si="2"/>
        <v>84.8109105966641</v>
      </c>
      <c r="N8" s="1">
        <f>DEGREES(ASIN((G8-(K8-K6))/D8))</f>
        <v>4.86996476813599</v>
      </c>
      <c r="O8" s="1">
        <f>90-DEGREES(ACOS((F8-(J8-J6))/D8))</f>
        <v>-4.83629853026167</v>
      </c>
      <c r="P8" s="1" t="s">
        <v>42</v>
      </c>
      <c r="Q8" s="1" t="s">
        <v>29</v>
      </c>
      <c r="R8" s="1" t="s">
        <v>30</v>
      </c>
      <c r="S8" s="1">
        <f>-20.5+D8*SIN(RADIANS(O8))</f>
        <v>-164.5</v>
      </c>
      <c r="T8" s="1">
        <f t="shared" si="3"/>
        <v>158.5</v>
      </c>
      <c r="U8" s="1">
        <f t="shared" si="1"/>
        <v>1780</v>
      </c>
    </row>
    <row r="9" spans="1:21">
      <c r="A9" s="1">
        <v>1</v>
      </c>
      <c r="B9" s="1">
        <v>8</v>
      </c>
      <c r="C9" s="1" t="s">
        <v>43</v>
      </c>
      <c r="D9" s="1">
        <f t="shared" si="0"/>
        <v>1702</v>
      </c>
      <c r="E9" s="1">
        <v>1701</v>
      </c>
      <c r="F9" s="1">
        <v>-181</v>
      </c>
      <c r="G9" s="1">
        <v>-20</v>
      </c>
      <c r="H9" s="1">
        <v>1</v>
      </c>
      <c r="I9" s="1">
        <v>8</v>
      </c>
      <c r="J9" s="1">
        <v>-20.5</v>
      </c>
      <c r="K9" s="1">
        <v>-1.5</v>
      </c>
      <c r="L9" s="1">
        <v>79</v>
      </c>
      <c r="M9" s="1">
        <f t="shared" si="2"/>
        <v>88.0358297961126</v>
      </c>
      <c r="N9" s="1">
        <f>DEGREES(ASIN((G9-(K9-K6))/D9))</f>
        <v>-0.67329140061769</v>
      </c>
      <c r="O9" s="1">
        <f>90-DEGREES(ACOS((F9-(J9-J6))/D9))</f>
        <v>-5.42798671516529</v>
      </c>
      <c r="P9" s="1" t="s">
        <v>44</v>
      </c>
      <c r="Q9" s="1" t="s">
        <v>33</v>
      </c>
      <c r="R9" s="1" t="s">
        <v>30</v>
      </c>
      <c r="S9" s="1">
        <f>-20.5+D9*SIN(RADIANS(O9))</f>
        <v>-181.5</v>
      </c>
      <c r="T9" s="1">
        <f>-1.5+D9*SIN(RADIANS(N9))</f>
        <v>-21.5</v>
      </c>
      <c r="U9" s="1">
        <f t="shared" si="1"/>
        <v>1780</v>
      </c>
    </row>
    <row r="10" spans="1:21">
      <c r="A10" s="1">
        <v>1</v>
      </c>
      <c r="B10" s="1">
        <v>9</v>
      </c>
      <c r="C10" s="1" t="s">
        <v>45</v>
      </c>
      <c r="D10" s="1">
        <f t="shared" si="0"/>
        <v>1705</v>
      </c>
      <c r="E10" s="1">
        <v>1701</v>
      </c>
      <c r="F10" s="1">
        <v>-163</v>
      </c>
      <c r="G10" s="1">
        <v>-200</v>
      </c>
      <c r="H10" s="1">
        <v>1</v>
      </c>
      <c r="I10" s="1">
        <v>9</v>
      </c>
      <c r="J10" s="1">
        <v>-21.5</v>
      </c>
      <c r="K10" s="1">
        <v>-14</v>
      </c>
      <c r="L10" s="1">
        <v>79</v>
      </c>
      <c r="M10" s="1">
        <f t="shared" si="2"/>
        <v>86.0745416221347</v>
      </c>
      <c r="N10" s="1">
        <f>DEGREES(ASIN((G10-(K10-K6))/D10))</f>
        <v>-6.31362508540769</v>
      </c>
      <c r="O10" s="1">
        <f>90-DEGREES(ACOS((F10-(J10-J6))/D10))</f>
        <v>-4.77738169824974</v>
      </c>
      <c r="P10" s="1" t="s">
        <v>42</v>
      </c>
      <c r="Q10" s="1" t="s">
        <v>46</v>
      </c>
      <c r="R10" s="1" t="s">
        <v>30</v>
      </c>
      <c r="S10" s="1">
        <f>-21.5+D10*SIN(RADIANS(O10))</f>
        <v>-163.5</v>
      </c>
      <c r="T10" s="1">
        <f>14+D10*SIN(RADIANS(N10))</f>
        <v>-173.5</v>
      </c>
      <c r="U10" s="1">
        <f t="shared" si="1"/>
        <v>1780</v>
      </c>
    </row>
    <row r="11" spans="1:21">
      <c r="A11" s="1">
        <v>2</v>
      </c>
      <c r="B11" s="1">
        <v>1</v>
      </c>
      <c r="C11" s="1" t="s">
        <v>47</v>
      </c>
      <c r="D11" s="1">
        <f t="shared" si="0"/>
        <v>1710</v>
      </c>
      <c r="E11" s="1">
        <v>1693</v>
      </c>
      <c r="F11" s="1">
        <v>156</v>
      </c>
      <c r="G11" s="1">
        <v>287</v>
      </c>
      <c r="H11" s="1">
        <v>2</v>
      </c>
      <c r="I11" s="1">
        <v>1</v>
      </c>
      <c r="J11" s="1">
        <v>17.5</v>
      </c>
      <c r="K11" s="1">
        <v>69.5</v>
      </c>
      <c r="L11" s="1">
        <v>26</v>
      </c>
      <c r="M11" s="1">
        <f t="shared" ref="M11:M29" si="4">90-DEGREES(ACOS(E11/D11))</f>
        <v>81.9141721852266</v>
      </c>
      <c r="N11" s="1">
        <f>DEGREES(ASIN((G11-(J11-J15))/D11))</f>
        <v>9.25442045967334</v>
      </c>
      <c r="O11" s="1">
        <f>90-DEGREES(ACOS((F11-(L11-L15))/D11))</f>
        <v>4.52806301380855</v>
      </c>
      <c r="P11" s="1" t="s">
        <v>48</v>
      </c>
      <c r="Q11" s="1" t="s">
        <v>49</v>
      </c>
      <c r="R11" s="1" t="s">
        <v>50</v>
      </c>
      <c r="S11" s="1">
        <f>17.5+D11*SIN(RADIANS(N11))</f>
        <v>292.5</v>
      </c>
      <c r="T11" s="1">
        <f>69.5+D11*SIN(RADIANS(M11))</f>
        <v>1762.5</v>
      </c>
      <c r="U11" s="1">
        <f>26+D11*SIN(RADIANS(O11))</f>
        <v>161</v>
      </c>
    </row>
    <row r="12" spans="1:21">
      <c r="A12" s="1">
        <v>2</v>
      </c>
      <c r="B12" s="1">
        <v>2</v>
      </c>
      <c r="C12" s="1" t="s">
        <v>51</v>
      </c>
      <c r="D12" s="1">
        <f t="shared" si="0"/>
        <v>1698</v>
      </c>
      <c r="E12" s="1">
        <v>1693</v>
      </c>
      <c r="F12" s="1">
        <v>171</v>
      </c>
      <c r="G12" s="1">
        <v>2</v>
      </c>
      <c r="H12" s="1">
        <v>2</v>
      </c>
      <c r="I12" s="1">
        <v>2</v>
      </c>
      <c r="J12" s="1">
        <v>5.5</v>
      </c>
      <c r="K12" s="1">
        <v>69.5</v>
      </c>
      <c r="L12" s="1">
        <v>25</v>
      </c>
      <c r="M12" s="1">
        <f t="shared" si="4"/>
        <v>85.6019474203689</v>
      </c>
      <c r="N12" s="1">
        <f>DEGREES(ASIN((G12-(J12-J15))/D12))</f>
        <v>0.0674862105550812</v>
      </c>
      <c r="O12" s="1">
        <f>90-DEGREES(ACOS((F12-(L12-L15))/D12))</f>
        <v>5.10194739810625</v>
      </c>
      <c r="P12" s="1" t="s">
        <v>52</v>
      </c>
      <c r="Q12" s="1" t="s">
        <v>49</v>
      </c>
      <c r="R12" s="1" t="s">
        <v>53</v>
      </c>
      <c r="S12" s="1">
        <f>5.5+D12*SIN(RADIANS(N12))</f>
        <v>7.5</v>
      </c>
      <c r="T12" s="1">
        <f t="shared" ref="T12:T19" si="5">69.5+D12*SIN(RADIANS(M12))</f>
        <v>1762.5</v>
      </c>
      <c r="U12" s="1">
        <f>25+D12*SIN(RADIANS(O12))</f>
        <v>176</v>
      </c>
    </row>
    <row r="13" spans="1:21">
      <c r="A13" s="1">
        <v>2</v>
      </c>
      <c r="B13" s="1">
        <v>3</v>
      </c>
      <c r="C13" s="1" t="s">
        <v>54</v>
      </c>
      <c r="D13" s="1">
        <f t="shared" si="0"/>
        <v>1729</v>
      </c>
      <c r="E13" s="1">
        <v>1693</v>
      </c>
      <c r="F13" s="1">
        <v>181</v>
      </c>
      <c r="G13" s="1">
        <v>-267</v>
      </c>
      <c r="H13" s="1">
        <v>2</v>
      </c>
      <c r="I13" s="1">
        <v>3</v>
      </c>
      <c r="J13" s="1">
        <v>-9.5</v>
      </c>
      <c r="K13" s="1">
        <v>69.5</v>
      </c>
      <c r="L13" s="1">
        <v>26</v>
      </c>
      <c r="M13" s="1">
        <f t="shared" si="4"/>
        <v>78.2875479892696</v>
      </c>
      <c r="N13" s="1">
        <f>DEGREES(ASIN((G13-(J13-J15))/D13))</f>
        <v>-8.38065381456863</v>
      </c>
      <c r="O13" s="1">
        <f>90-DEGREES(ACOS((F13-(L13-L15))/D13))</f>
        <v>5.30969313190582</v>
      </c>
      <c r="P13" s="1" t="s">
        <v>55</v>
      </c>
      <c r="Q13" s="1" t="s">
        <v>49</v>
      </c>
      <c r="R13" s="1" t="s">
        <v>50</v>
      </c>
      <c r="S13" s="1">
        <f>-9.5+D13*SIN(RADIANS(N13))</f>
        <v>-261.5</v>
      </c>
      <c r="T13" s="1">
        <f t="shared" si="5"/>
        <v>1762.5</v>
      </c>
      <c r="U13" s="1">
        <f t="shared" ref="U12:U19" si="6">26+D13*SIN(RADIANS(O13))</f>
        <v>186</v>
      </c>
    </row>
    <row r="14" spans="1:21">
      <c r="A14" s="1">
        <v>2</v>
      </c>
      <c r="B14" s="1">
        <v>4</v>
      </c>
      <c r="C14" s="1" t="s">
        <v>41</v>
      </c>
      <c r="D14" s="1">
        <f t="shared" si="0"/>
        <v>1708</v>
      </c>
      <c r="E14" s="1">
        <v>1693</v>
      </c>
      <c r="F14" s="1">
        <v>-1</v>
      </c>
      <c r="G14" s="1">
        <v>265</v>
      </c>
      <c r="H14" s="1">
        <v>2</v>
      </c>
      <c r="I14" s="1">
        <v>4</v>
      </c>
      <c r="J14" s="1">
        <v>17.5</v>
      </c>
      <c r="K14" s="1">
        <v>69.5</v>
      </c>
      <c r="L14" s="1">
        <v>5</v>
      </c>
      <c r="M14" s="1">
        <f t="shared" si="4"/>
        <v>82.4009784163964</v>
      </c>
      <c r="N14" s="1">
        <f>DEGREES(ASIN((G14-(J14-J15))/D14))</f>
        <v>8.51836796592178</v>
      </c>
      <c r="O14" s="1">
        <f>90-DEGREES(ACOS((F14-(L14-L15))/D14))</f>
        <v>-0.0335455402730958</v>
      </c>
      <c r="P14" s="1" t="s">
        <v>48</v>
      </c>
      <c r="Q14" s="1" t="s">
        <v>49</v>
      </c>
      <c r="R14" s="1" t="s">
        <v>56</v>
      </c>
      <c r="S14" s="1">
        <f t="shared" ref="S12:S19" si="7">17.5+D14*SIN(RADIANS(N14))</f>
        <v>270.5</v>
      </c>
      <c r="T14" s="1">
        <f t="shared" si="5"/>
        <v>1762.5</v>
      </c>
      <c r="U14" s="1">
        <f>5+D14*SIN(RADIANS(O14))</f>
        <v>4.00000000000016</v>
      </c>
    </row>
    <row r="15" spans="1:21">
      <c r="A15" s="1">
        <v>2</v>
      </c>
      <c r="B15" s="1">
        <v>5</v>
      </c>
      <c r="C15" s="1" t="s">
        <v>57</v>
      </c>
      <c r="D15" s="1">
        <f t="shared" si="0"/>
        <v>1693</v>
      </c>
      <c r="E15" s="1">
        <v>1693</v>
      </c>
      <c r="F15" s="1">
        <v>0</v>
      </c>
      <c r="G15" s="1">
        <v>0</v>
      </c>
      <c r="H15" s="1">
        <v>2</v>
      </c>
      <c r="I15" s="1">
        <v>5</v>
      </c>
      <c r="J15" s="1">
        <v>5.5</v>
      </c>
      <c r="K15" s="1">
        <v>69.5</v>
      </c>
      <c r="L15" s="1">
        <v>5</v>
      </c>
      <c r="M15" s="1">
        <f t="shared" si="4"/>
        <v>90</v>
      </c>
      <c r="N15" s="1">
        <f>DEGREES(ASIN((G15-(J15-J15))/D15))</f>
        <v>0</v>
      </c>
      <c r="O15" s="1">
        <f>90-DEGREES(ACOS((F15-(L15-L15))/D15))</f>
        <v>0</v>
      </c>
      <c r="P15" s="1" t="s">
        <v>52</v>
      </c>
      <c r="Q15" s="1" t="s">
        <v>49</v>
      </c>
      <c r="R15" s="1" t="s">
        <v>56</v>
      </c>
      <c r="S15" s="1">
        <f>5.5+D15*SIN(RADIANS(N15))</f>
        <v>5.5</v>
      </c>
      <c r="T15" s="1">
        <f t="shared" si="5"/>
        <v>1762.5</v>
      </c>
      <c r="U15" s="1">
        <f>5+D15*SIN(RADIANS(O15))</f>
        <v>5</v>
      </c>
    </row>
    <row r="16" spans="1:21">
      <c r="A16" s="1">
        <v>2</v>
      </c>
      <c r="B16" s="1">
        <v>6</v>
      </c>
      <c r="C16" s="1" t="s">
        <v>58</v>
      </c>
      <c r="D16" s="1">
        <f t="shared" si="0"/>
        <v>1728</v>
      </c>
      <c r="E16" s="1">
        <v>1693</v>
      </c>
      <c r="F16" s="1">
        <v>5</v>
      </c>
      <c r="G16" s="1">
        <v>-267</v>
      </c>
      <c r="H16" s="1">
        <v>2</v>
      </c>
      <c r="I16" s="1">
        <v>6</v>
      </c>
      <c r="J16" s="1">
        <v>-9.5</v>
      </c>
      <c r="K16" s="1">
        <v>69.5</v>
      </c>
      <c r="L16" s="1">
        <v>5</v>
      </c>
      <c r="M16" s="1">
        <f t="shared" si="4"/>
        <v>78.4485750677356</v>
      </c>
      <c r="N16" s="1">
        <f>DEGREES(ASIN((G16-(J16-J15))/D16))</f>
        <v>-8.38553864708132</v>
      </c>
      <c r="O16" s="1">
        <f>90-DEGREES(ACOS((F16-(L16-L15))/D16))</f>
        <v>0.165786630394635</v>
      </c>
      <c r="P16" s="1" t="s">
        <v>55</v>
      </c>
      <c r="Q16" s="1" t="s">
        <v>49</v>
      </c>
      <c r="R16" s="1" t="s">
        <v>56</v>
      </c>
      <c r="S16" s="1">
        <f>-9.5+D16*SIN(RADIANS(N16))</f>
        <v>-261.5</v>
      </c>
      <c r="T16" s="1">
        <f t="shared" si="5"/>
        <v>1762.5</v>
      </c>
      <c r="U16" s="1">
        <f>5+D16*SIN(RADIANS(O16))</f>
        <v>9.99999999999997</v>
      </c>
    </row>
    <row r="17" spans="1:21">
      <c r="A17" s="1">
        <v>2</v>
      </c>
      <c r="B17" s="1">
        <v>7</v>
      </c>
      <c r="C17" s="1" t="s">
        <v>59</v>
      </c>
      <c r="D17" s="1">
        <f t="shared" si="0"/>
        <v>1721</v>
      </c>
      <c r="E17" s="1">
        <v>1693</v>
      </c>
      <c r="F17" s="1">
        <v>-163</v>
      </c>
      <c r="G17" s="1">
        <v>264</v>
      </c>
      <c r="H17" s="1">
        <v>2</v>
      </c>
      <c r="I17" s="1">
        <v>7</v>
      </c>
      <c r="J17" s="1">
        <v>17.5</v>
      </c>
      <c r="K17" s="1">
        <v>69.5</v>
      </c>
      <c r="L17" s="1">
        <v>-16</v>
      </c>
      <c r="M17" s="1">
        <f t="shared" si="4"/>
        <v>79.6505614128183</v>
      </c>
      <c r="N17" s="1">
        <f>DEGREES(ASIN((G17-(J17-J15))/D17))</f>
        <v>8.41989315943675</v>
      </c>
      <c r="O17" s="1">
        <f>90-DEGREES(ACOS((F17-(L17-L15))/D17))</f>
        <v>-4.73286498460401</v>
      </c>
      <c r="P17" s="1" t="s">
        <v>48</v>
      </c>
      <c r="Q17" s="1" t="s">
        <v>49</v>
      </c>
      <c r="R17" s="1" t="s">
        <v>60</v>
      </c>
      <c r="S17" s="1">
        <f t="shared" si="7"/>
        <v>269.5</v>
      </c>
      <c r="T17" s="1">
        <f t="shared" si="5"/>
        <v>1762.5</v>
      </c>
      <c r="U17" s="1">
        <f>-16+D17*SIN(RADIANS(O17))</f>
        <v>-158</v>
      </c>
    </row>
    <row r="18" spans="1:21">
      <c r="A18" s="1">
        <v>2</v>
      </c>
      <c r="B18" s="1">
        <v>8</v>
      </c>
      <c r="C18" s="1" t="s">
        <v>61</v>
      </c>
      <c r="D18" s="1">
        <f t="shared" si="0"/>
        <v>1712</v>
      </c>
      <c r="E18" s="1">
        <v>1693</v>
      </c>
      <c r="F18" s="1">
        <v>-181</v>
      </c>
      <c r="G18" s="1">
        <v>17</v>
      </c>
      <c r="H18" s="1">
        <v>2</v>
      </c>
      <c r="I18" s="1">
        <v>8</v>
      </c>
      <c r="J18" s="1">
        <v>5.5</v>
      </c>
      <c r="K18" s="1">
        <v>69.5</v>
      </c>
      <c r="L18" s="1">
        <v>-16</v>
      </c>
      <c r="M18" s="1">
        <f t="shared" si="4"/>
        <v>81.4559255294025</v>
      </c>
      <c r="N18" s="1">
        <f>DEGREES(ASIN((G18-(J18-J15))/D18))</f>
        <v>0.56895108613188</v>
      </c>
      <c r="O18" s="1">
        <f>90-DEGREES(ACOS((F18-(L18-L15))/D18))</f>
        <v>-5.36257161798183</v>
      </c>
      <c r="P18" s="1" t="s">
        <v>52</v>
      </c>
      <c r="Q18" s="1" t="s">
        <v>49</v>
      </c>
      <c r="R18" s="1" t="s">
        <v>60</v>
      </c>
      <c r="S18" s="1">
        <f>5.5+D18*SIN(RADIANS(N18))</f>
        <v>22.5</v>
      </c>
      <c r="T18" s="1">
        <f t="shared" si="5"/>
        <v>1762.5</v>
      </c>
      <c r="U18" s="1">
        <f>-16+D18*SIN(RADIANS(O18))</f>
        <v>-176</v>
      </c>
    </row>
    <row r="19" spans="1:21">
      <c r="A19" s="1">
        <v>2</v>
      </c>
      <c r="B19" s="1">
        <v>9</v>
      </c>
      <c r="C19" s="1" t="s">
        <v>62</v>
      </c>
      <c r="D19" s="1">
        <f t="shared" si="0"/>
        <v>1744</v>
      </c>
      <c r="E19" s="1">
        <v>1693</v>
      </c>
      <c r="F19" s="1">
        <v>-185</v>
      </c>
      <c r="G19" s="1">
        <v>-276</v>
      </c>
      <c r="H19" s="1">
        <v>2</v>
      </c>
      <c r="I19" s="1">
        <v>9</v>
      </c>
      <c r="J19" s="1">
        <v>-9.5</v>
      </c>
      <c r="K19" s="1">
        <v>69.5</v>
      </c>
      <c r="L19" s="1">
        <v>-16</v>
      </c>
      <c r="M19" s="1">
        <f t="shared" si="4"/>
        <v>76.1096387087563</v>
      </c>
      <c r="N19" s="1">
        <f>DEGREES(ASIN((G19-(J19-J15))/D19))</f>
        <v>-8.60698966171208</v>
      </c>
      <c r="O19" s="1">
        <f>90-DEGREES(ACOS((F19-(L19-L15))/D19))</f>
        <v>-5.395878423643</v>
      </c>
      <c r="P19" s="1" t="s">
        <v>55</v>
      </c>
      <c r="Q19" s="1" t="s">
        <v>49</v>
      </c>
      <c r="R19" s="1" t="s">
        <v>60</v>
      </c>
      <c r="S19" s="1">
        <f>-9.5+D19*SIN(RADIANS(N19))</f>
        <v>-270.5</v>
      </c>
      <c r="T19" s="1">
        <f t="shared" si="5"/>
        <v>1762.5</v>
      </c>
      <c r="U19" s="1">
        <f>-16+D19*SIN(RADIANS(O19))</f>
        <v>-180</v>
      </c>
    </row>
    <row r="20" spans="1:21">
      <c r="A20" s="1">
        <v>3</v>
      </c>
      <c r="B20" s="1">
        <v>1</v>
      </c>
      <c r="C20" s="1" t="s">
        <v>63</v>
      </c>
      <c r="D20" s="1">
        <f t="shared" si="0"/>
        <v>1731</v>
      </c>
      <c r="E20" s="1">
        <v>1692</v>
      </c>
      <c r="F20" s="1">
        <v>175</v>
      </c>
      <c r="G20" s="1">
        <v>-298</v>
      </c>
      <c r="H20" s="1">
        <v>3</v>
      </c>
      <c r="I20" s="1">
        <v>1</v>
      </c>
      <c r="J20" s="1">
        <v>53.5</v>
      </c>
      <c r="K20" s="1">
        <v>-12.5</v>
      </c>
      <c r="L20" s="1">
        <v>15.5</v>
      </c>
      <c r="M20" s="1">
        <f t="shared" si="4"/>
        <v>77.8145888112553</v>
      </c>
      <c r="N20" s="1">
        <f>DEGREES(ASIN((G20-(K20-K24))/D20))</f>
        <v>-9.44303967127652</v>
      </c>
      <c r="O20" s="1">
        <f>90-DEGREES(ACOS((F20-(L20-L24))/D20))</f>
        <v>5.12073578741298</v>
      </c>
      <c r="P20" s="1" t="s">
        <v>64</v>
      </c>
      <c r="Q20" s="1" t="s">
        <v>65</v>
      </c>
      <c r="R20" s="1" t="s">
        <v>66</v>
      </c>
      <c r="S20" s="1">
        <f>53.5+D20*SIN(RADIANS(M20))</f>
        <v>1745.5</v>
      </c>
      <c r="T20" s="1">
        <f>-12.5+D20*SIN(RADIANS(N20))</f>
        <v>-296.5</v>
      </c>
      <c r="U20" s="1">
        <f>15.5+D20*SIN(RADIANS(O20))</f>
        <v>170</v>
      </c>
    </row>
    <row r="21" spans="1:21">
      <c r="A21" s="1">
        <v>3</v>
      </c>
      <c r="B21" s="1">
        <v>2</v>
      </c>
      <c r="C21" s="1" t="s">
        <v>37</v>
      </c>
      <c r="D21" s="1">
        <f t="shared" si="0"/>
        <v>1701</v>
      </c>
      <c r="E21" s="1">
        <v>1692</v>
      </c>
      <c r="F21" s="1">
        <v>167</v>
      </c>
      <c r="G21" s="1">
        <v>-36</v>
      </c>
      <c r="H21" s="1">
        <v>3</v>
      </c>
      <c r="I21" s="1">
        <v>2</v>
      </c>
      <c r="J21" s="1">
        <v>53.5</v>
      </c>
      <c r="K21" s="1">
        <v>1.5</v>
      </c>
      <c r="L21" s="1">
        <v>14</v>
      </c>
      <c r="M21" s="1">
        <f t="shared" si="4"/>
        <v>84.1034443446031</v>
      </c>
      <c r="N21" s="1">
        <f>DEGREES(ASIN((G21-(K21-K24))/D21))</f>
        <v>-1.21269963293527</v>
      </c>
      <c r="O21" s="1">
        <f>90-DEGREES(ACOS((F21-(L21-L24))/D21))</f>
        <v>4.99148212655706</v>
      </c>
      <c r="P21" s="1" t="s">
        <v>64</v>
      </c>
      <c r="Q21" s="1" t="s">
        <v>67</v>
      </c>
      <c r="R21" s="1" t="s">
        <v>68</v>
      </c>
      <c r="S21" s="1">
        <f t="shared" ref="S21:S29" si="8">53.5+D21*SIN(RADIANS(M21))</f>
        <v>1745.5</v>
      </c>
      <c r="T21" s="1">
        <f>-1.5+D21*SIN(RADIANS(N21))</f>
        <v>-37.5</v>
      </c>
      <c r="U21" s="1">
        <f>14+D21*SIN(RADIANS(O21))</f>
        <v>162</v>
      </c>
    </row>
    <row r="22" spans="1:21">
      <c r="A22" s="1">
        <v>3</v>
      </c>
      <c r="B22" s="1">
        <v>3</v>
      </c>
      <c r="C22" s="1" t="s">
        <v>63</v>
      </c>
      <c r="D22" s="1">
        <f t="shared" si="0"/>
        <v>1731</v>
      </c>
      <c r="E22" s="1">
        <v>1692</v>
      </c>
      <c r="F22" s="1">
        <v>203</v>
      </c>
      <c r="G22" s="1">
        <v>300</v>
      </c>
      <c r="H22" s="1">
        <v>3</v>
      </c>
      <c r="I22" s="1">
        <v>3</v>
      </c>
      <c r="J22" s="1">
        <v>53.5</v>
      </c>
      <c r="K22" s="1">
        <v>13.5</v>
      </c>
      <c r="L22" s="1">
        <v>15</v>
      </c>
      <c r="M22" s="1">
        <f t="shared" si="4"/>
        <v>77.8145888112553</v>
      </c>
      <c r="N22" s="1">
        <f>DEGREES(ASIN((G22-(K22-K24))/D22))</f>
        <v>9.57728397255184</v>
      </c>
      <c r="O22" s="1">
        <f>90-DEGREES(ACOS((F22-(L22-L24))/D22))</f>
        <v>6.0686064774156</v>
      </c>
      <c r="P22" s="1" t="s">
        <v>64</v>
      </c>
      <c r="Q22" s="1" t="s">
        <v>29</v>
      </c>
      <c r="R22" s="1" t="s">
        <v>69</v>
      </c>
      <c r="S22" s="1">
        <f t="shared" si="8"/>
        <v>1745.5</v>
      </c>
      <c r="T22" s="1">
        <f>13.5+D22*SIN(RADIANS(N22))</f>
        <v>301.5</v>
      </c>
      <c r="U22" s="1">
        <f>15+D22*SIN(RADIANS(O22))</f>
        <v>198</v>
      </c>
    </row>
    <row r="23" spans="1:21">
      <c r="A23" s="1">
        <v>3</v>
      </c>
      <c r="B23" s="1">
        <v>4</v>
      </c>
      <c r="C23" s="1" t="s">
        <v>70</v>
      </c>
      <c r="D23" s="1">
        <f t="shared" si="0"/>
        <v>1722</v>
      </c>
      <c r="E23" s="1">
        <v>1692</v>
      </c>
      <c r="F23" s="1">
        <v>-5</v>
      </c>
      <c r="G23" s="1">
        <v>-304</v>
      </c>
      <c r="H23" s="1">
        <v>3</v>
      </c>
      <c r="I23" s="1">
        <v>4</v>
      </c>
      <c r="J23" s="1">
        <v>53.5</v>
      </c>
      <c r="K23" s="1">
        <v>-12.5</v>
      </c>
      <c r="L23" s="1">
        <v>-5</v>
      </c>
      <c r="M23" s="1">
        <f t="shared" si="4"/>
        <v>79.2893897394955</v>
      </c>
      <c r="N23" s="1">
        <f>DEGREES(ASIN((G23-(K23-K24))/D23))</f>
        <v>-9.69531776741561</v>
      </c>
      <c r="O23" s="1">
        <f>90-DEGREES(ACOS((F23-(L23-L24))/D23))</f>
        <v>-0.16636428577965</v>
      </c>
      <c r="P23" s="1" t="s">
        <v>64</v>
      </c>
      <c r="Q23" s="1" t="s">
        <v>65</v>
      </c>
      <c r="R23" s="1" t="s">
        <v>71</v>
      </c>
      <c r="S23" s="1">
        <f t="shared" si="8"/>
        <v>1745.5</v>
      </c>
      <c r="T23" s="1">
        <f t="shared" ref="T21:T28" si="9">-12.5+D23*SIN(RADIANS(N23))</f>
        <v>-302.5</v>
      </c>
      <c r="U23" s="1">
        <f>-5+D23*SIN(RADIANS(O23))</f>
        <v>-10.0000000000001</v>
      </c>
    </row>
    <row r="24" spans="1:21">
      <c r="A24" s="1">
        <v>3</v>
      </c>
      <c r="B24" s="1">
        <v>5</v>
      </c>
      <c r="C24" s="1" t="s">
        <v>72</v>
      </c>
      <c r="D24" s="1">
        <f t="shared" si="0"/>
        <v>1692</v>
      </c>
      <c r="E24" s="1">
        <v>1692</v>
      </c>
      <c r="F24" s="1">
        <v>0</v>
      </c>
      <c r="G24" s="1">
        <v>0</v>
      </c>
      <c r="H24" s="1">
        <v>3</v>
      </c>
      <c r="I24" s="1">
        <v>5</v>
      </c>
      <c r="J24" s="1">
        <v>53.5</v>
      </c>
      <c r="K24" s="1">
        <v>1.5</v>
      </c>
      <c r="L24" s="1">
        <v>-5</v>
      </c>
      <c r="M24" s="1">
        <f t="shared" si="4"/>
        <v>90</v>
      </c>
      <c r="N24" s="1">
        <f>DEGREES(ASIN((G24-(K24-K24))/D24))</f>
        <v>0</v>
      </c>
      <c r="O24" s="1">
        <f>90-DEGREES(ACOS((F24-(L24-L24))/D24))</f>
        <v>0</v>
      </c>
      <c r="P24" s="1" t="s">
        <v>64</v>
      </c>
      <c r="Q24" s="1" t="s">
        <v>67</v>
      </c>
      <c r="R24" s="1" t="s">
        <v>71</v>
      </c>
      <c r="S24" s="1">
        <f t="shared" si="8"/>
        <v>1745.5</v>
      </c>
      <c r="T24" s="1">
        <f>1.5+D24*SIN(RADIANS(N24))</f>
        <v>1.5</v>
      </c>
      <c r="U24" s="1">
        <f>-5+D24*SIN(RADIANS(O24))</f>
        <v>-5</v>
      </c>
    </row>
    <row r="25" spans="1:21">
      <c r="A25" s="1">
        <v>3</v>
      </c>
      <c r="B25" s="1">
        <v>6</v>
      </c>
      <c r="C25" s="1" t="s">
        <v>70</v>
      </c>
      <c r="D25" s="1">
        <f t="shared" si="0"/>
        <v>1722</v>
      </c>
      <c r="E25" s="1">
        <v>1692</v>
      </c>
      <c r="F25" s="1">
        <v>7</v>
      </c>
      <c r="G25" s="1">
        <v>311</v>
      </c>
      <c r="H25" s="1">
        <v>3</v>
      </c>
      <c r="I25" s="1">
        <v>6</v>
      </c>
      <c r="J25" s="1">
        <v>53.5</v>
      </c>
      <c r="K25" s="1">
        <v>13.5</v>
      </c>
      <c r="L25" s="1">
        <v>-5</v>
      </c>
      <c r="M25" s="1">
        <f t="shared" si="4"/>
        <v>79.2893897394955</v>
      </c>
      <c r="N25" s="1">
        <f>DEGREES(ASIN((G25-(K25-K24))/D25))</f>
        <v>9.99925123532222</v>
      </c>
      <c r="O25" s="1">
        <f>90-DEGREES(ACOS((F25-(L25-L24))/D25))</f>
        <v>0.232910314276992</v>
      </c>
      <c r="P25" s="1" t="s">
        <v>64</v>
      </c>
      <c r="Q25" s="1" t="s">
        <v>29</v>
      </c>
      <c r="R25" s="1" t="s">
        <v>71</v>
      </c>
      <c r="S25" s="1">
        <f t="shared" si="8"/>
        <v>1745.5</v>
      </c>
      <c r="T25" s="1">
        <f>13.5+D25*SIN(RADIANS(N25))</f>
        <v>312.5</v>
      </c>
      <c r="U25" s="1">
        <f>-5+D25*SIN(RADIANS(O25))</f>
        <v>2.00000000000038</v>
      </c>
    </row>
    <row r="26" spans="1:21">
      <c r="A26" s="1">
        <v>3</v>
      </c>
      <c r="B26" s="1">
        <v>7</v>
      </c>
      <c r="C26" s="1" t="s">
        <v>54</v>
      </c>
      <c r="D26" s="1">
        <f t="shared" si="0"/>
        <v>1729</v>
      </c>
      <c r="E26" s="1">
        <v>1692</v>
      </c>
      <c r="F26" s="1">
        <v>-179</v>
      </c>
      <c r="G26" s="1">
        <v>-307</v>
      </c>
      <c r="H26" s="1">
        <v>3</v>
      </c>
      <c r="I26" s="1">
        <v>7</v>
      </c>
      <c r="J26" s="1">
        <v>53.5</v>
      </c>
      <c r="K26" s="1">
        <v>-12.5</v>
      </c>
      <c r="L26" s="1">
        <v>-27</v>
      </c>
      <c r="M26" s="1">
        <f t="shared" si="4"/>
        <v>78.1254125156651</v>
      </c>
      <c r="N26" s="1">
        <f>DEGREES(ASIN((G26-(K26-K24))/D26))</f>
        <v>-9.75654687458612</v>
      </c>
      <c r="O26" s="1">
        <f>90-DEGREES(ACOS((F26-(L26-L24))/D26))</f>
        <v>-5.20985843748808</v>
      </c>
      <c r="P26" s="1" t="s">
        <v>64</v>
      </c>
      <c r="Q26" s="1" t="s">
        <v>65</v>
      </c>
      <c r="R26" s="1" t="s">
        <v>73</v>
      </c>
      <c r="S26" s="1">
        <f t="shared" si="8"/>
        <v>1745.5</v>
      </c>
      <c r="T26" s="1">
        <f t="shared" si="9"/>
        <v>-305.5</v>
      </c>
      <c r="U26" s="1">
        <f>-27+D26*SIN(RADIANS(O26))</f>
        <v>-184</v>
      </c>
    </row>
    <row r="27" spans="1:21">
      <c r="A27" s="1">
        <v>3</v>
      </c>
      <c r="B27" s="1">
        <v>8</v>
      </c>
      <c r="C27" s="1" t="s">
        <v>43</v>
      </c>
      <c r="D27" s="1">
        <f t="shared" si="0"/>
        <v>1702</v>
      </c>
      <c r="E27" s="1">
        <v>1692</v>
      </c>
      <c r="F27" s="1">
        <v>-181</v>
      </c>
      <c r="G27" s="1">
        <v>10</v>
      </c>
      <c r="H27" s="1">
        <v>3</v>
      </c>
      <c r="I27" s="1">
        <v>8</v>
      </c>
      <c r="J27" s="1">
        <v>53.5</v>
      </c>
      <c r="K27" s="1">
        <v>1.5</v>
      </c>
      <c r="L27" s="1">
        <v>-26</v>
      </c>
      <c r="M27" s="1">
        <f t="shared" si="4"/>
        <v>83.7860075525409</v>
      </c>
      <c r="N27" s="1">
        <f>DEGREES(ASIN((G27-(K27-K24))/D27))</f>
        <v>0.336639889351286</v>
      </c>
      <c r="O27" s="1">
        <f>90-DEGREES(ACOS((F27-(L27-L24))/D27))</f>
        <v>-5.39417223357538</v>
      </c>
      <c r="P27" s="1" t="s">
        <v>64</v>
      </c>
      <c r="Q27" s="1" t="s">
        <v>67</v>
      </c>
      <c r="R27" s="1" t="s">
        <v>74</v>
      </c>
      <c r="S27" s="1">
        <f t="shared" si="8"/>
        <v>1745.5</v>
      </c>
      <c r="T27" s="1">
        <f>1.5+D27*SIN(RADIANS(N27))</f>
        <v>11.5</v>
      </c>
      <c r="U27" s="1">
        <f>-26+D27*SIN(RADIANS(O27))</f>
        <v>-186</v>
      </c>
    </row>
    <row r="28" spans="1:21">
      <c r="A28" s="1">
        <v>3</v>
      </c>
      <c r="B28" s="1">
        <v>9</v>
      </c>
      <c r="C28" s="1" t="s">
        <v>75</v>
      </c>
      <c r="D28" s="1">
        <f t="shared" si="0"/>
        <v>1733</v>
      </c>
      <c r="E28" s="1">
        <v>1692</v>
      </c>
      <c r="F28" s="1">
        <v>-169</v>
      </c>
      <c r="G28" s="1">
        <v>320</v>
      </c>
      <c r="H28" s="1">
        <v>3</v>
      </c>
      <c r="I28" s="1">
        <v>9</v>
      </c>
      <c r="J28" s="1">
        <v>53.5</v>
      </c>
      <c r="K28" s="1">
        <v>13.5</v>
      </c>
      <c r="L28" s="1">
        <v>-27</v>
      </c>
      <c r="M28" s="1">
        <f t="shared" si="4"/>
        <v>77.5120761633777</v>
      </c>
      <c r="N28" s="1">
        <f>DEGREES(ASIN((G28-(K28-K24))/D28))</f>
        <v>10.2373619538987</v>
      </c>
      <c r="O28" s="1">
        <f>90-DEGREES(ACOS((F28-(L28-L24))/D28))</f>
        <v>-4.86590452681769</v>
      </c>
      <c r="P28" s="1" t="s">
        <v>64</v>
      </c>
      <c r="Q28" s="1" t="s">
        <v>29</v>
      </c>
      <c r="R28" s="1" t="s">
        <v>73</v>
      </c>
      <c r="S28" s="1">
        <f t="shared" si="8"/>
        <v>1745.5</v>
      </c>
      <c r="T28" s="1">
        <f>13.5+D28*SIN(RADIANS(N28))</f>
        <v>321.5</v>
      </c>
      <c r="U28" s="1">
        <f>-27+D28*SIN(RADIANS(O28))</f>
        <v>-174</v>
      </c>
    </row>
    <row r="29" spans="1:21">
      <c r="A29" s="1">
        <v>4</v>
      </c>
      <c r="B29" s="1">
        <v>1</v>
      </c>
      <c r="C29" s="1">
        <v>689</v>
      </c>
      <c r="D29" s="1">
        <f t="shared" si="0"/>
        <v>1673</v>
      </c>
      <c r="E29" s="1">
        <v>1643</v>
      </c>
      <c r="F29" s="1">
        <v>200</v>
      </c>
      <c r="G29" s="1">
        <v>240</v>
      </c>
      <c r="H29" s="1">
        <v>4</v>
      </c>
      <c r="I29" s="1">
        <v>1</v>
      </c>
      <c r="J29" s="1">
        <v>16.5</v>
      </c>
      <c r="K29" s="1">
        <v>-69.5</v>
      </c>
      <c r="L29" s="1">
        <v>16</v>
      </c>
      <c r="M29" s="1">
        <f>-90+DEGREES(ACOS(E29/D29))</f>
        <v>-79.1332066865095</v>
      </c>
      <c r="N29" s="1">
        <f>DEGREES(ASIN((G29-(J29-J33))/D29))</f>
        <v>7.83276566426057</v>
      </c>
      <c r="O29" s="1">
        <f>90-DEGREES(ACOS((F29-(L29-L33))/D29))</f>
        <v>6.14202849531489</v>
      </c>
      <c r="P29" s="1" t="s">
        <v>76</v>
      </c>
      <c r="Q29" s="1" t="s">
        <v>77</v>
      </c>
      <c r="R29" s="1" t="s">
        <v>78</v>
      </c>
      <c r="S29" s="1">
        <f>16.5+D29*SIN(RADIANS(N29))</f>
        <v>244.5</v>
      </c>
      <c r="T29" s="1">
        <f>-69.5+D29*SIN(RADIANS(M29))</f>
        <v>-1712.5</v>
      </c>
      <c r="U29" s="1">
        <f>16+D29*SIN(RADIANS(O29))</f>
        <v>195</v>
      </c>
    </row>
    <row r="30" spans="1:21">
      <c r="A30" s="1">
        <v>4</v>
      </c>
      <c r="B30" s="1">
        <v>2</v>
      </c>
      <c r="C30" s="1">
        <v>672</v>
      </c>
      <c r="D30" s="1">
        <f t="shared" si="0"/>
        <v>1650</v>
      </c>
      <c r="E30" s="1">
        <v>1643</v>
      </c>
      <c r="F30" s="1">
        <v>177</v>
      </c>
      <c r="G30" s="1">
        <v>20</v>
      </c>
      <c r="H30" s="1">
        <v>4</v>
      </c>
      <c r="I30" s="1">
        <v>2</v>
      </c>
      <c r="J30" s="1">
        <v>4.5</v>
      </c>
      <c r="K30" s="1">
        <v>-69.5</v>
      </c>
      <c r="L30" s="1">
        <v>15</v>
      </c>
      <c r="M30" s="1">
        <f t="shared" ref="M30:M46" si="10">-90+DEGREES(ACOS(E30/D30))</f>
        <v>-84.7204326290103</v>
      </c>
      <c r="N30" s="1">
        <f>DEGREES(ASIN((G30-(J30-J33))/D30))</f>
        <v>0.694511304541019</v>
      </c>
      <c r="O30" s="1">
        <f>90-DEGREES(ACOS((F30-(L30-L33))/D30))</f>
        <v>5.46004049548692</v>
      </c>
      <c r="P30" s="1" t="s">
        <v>79</v>
      </c>
      <c r="Q30" s="1" t="s">
        <v>77</v>
      </c>
      <c r="R30" s="1" t="s">
        <v>69</v>
      </c>
      <c r="S30" s="1">
        <f>4.5+D30*SIN(RADIANS(N30))</f>
        <v>24.5</v>
      </c>
      <c r="T30" s="1">
        <f t="shared" ref="T30:T37" si="11">-69.5+D30*SIN(RADIANS(M30))</f>
        <v>-1712.5</v>
      </c>
      <c r="U30" s="1">
        <f>15+D30*SIN(RADIANS(O30))</f>
        <v>172</v>
      </c>
    </row>
    <row r="31" spans="1:21">
      <c r="A31" s="1">
        <v>4</v>
      </c>
      <c r="B31" s="1">
        <v>3</v>
      </c>
      <c r="C31" s="1">
        <v>692</v>
      </c>
      <c r="D31" s="1">
        <f t="shared" si="0"/>
        <v>1682</v>
      </c>
      <c r="E31" s="1">
        <v>1643</v>
      </c>
      <c r="F31" s="1">
        <v>168</v>
      </c>
      <c r="G31" s="1">
        <v>-382</v>
      </c>
      <c r="H31" s="1">
        <v>4</v>
      </c>
      <c r="I31" s="1">
        <v>3</v>
      </c>
      <c r="J31" s="1">
        <v>-10.5</v>
      </c>
      <c r="K31" s="1">
        <v>-69.5</v>
      </c>
      <c r="L31" s="1">
        <v>16</v>
      </c>
      <c r="M31" s="1">
        <f t="shared" si="10"/>
        <v>-77.6376885108884</v>
      </c>
      <c r="N31" s="1">
        <f>DEGREES(ASIN((G31-(J31-J33))/D31))</f>
        <v>-12.6028994787007</v>
      </c>
      <c r="O31" s="1">
        <f>90-DEGREES(ACOS((F31-(L31-L33))/D31))</f>
        <v>5.01381599328222</v>
      </c>
      <c r="P31" s="1" t="s">
        <v>80</v>
      </c>
      <c r="Q31" s="1" t="s">
        <v>77</v>
      </c>
      <c r="R31" s="1" t="s">
        <v>78</v>
      </c>
      <c r="S31" s="1">
        <f>-10.5+D31*SIN(RADIANS(N31))</f>
        <v>-377.5</v>
      </c>
      <c r="T31" s="1">
        <f t="shared" si="11"/>
        <v>-1712.5</v>
      </c>
      <c r="U31" s="1">
        <f t="shared" ref="U30:U37" si="12">16+D31*SIN(RADIANS(O31))</f>
        <v>163</v>
      </c>
    </row>
    <row r="32" spans="1:21">
      <c r="A32" s="1">
        <v>4</v>
      </c>
      <c r="B32" s="1">
        <v>4</v>
      </c>
      <c r="C32" s="1" t="s">
        <v>81</v>
      </c>
      <c r="D32" s="1">
        <f t="shared" si="0"/>
        <v>1663</v>
      </c>
      <c r="E32" s="1">
        <v>1643</v>
      </c>
      <c r="F32" s="1">
        <v>31</v>
      </c>
      <c r="G32" s="1">
        <v>244</v>
      </c>
      <c r="H32" s="1">
        <v>4</v>
      </c>
      <c r="I32" s="1">
        <v>4</v>
      </c>
      <c r="J32" s="1">
        <v>16.5</v>
      </c>
      <c r="K32" s="1">
        <v>-69.5</v>
      </c>
      <c r="L32" s="1">
        <v>-5</v>
      </c>
      <c r="M32" s="1">
        <f t="shared" si="10"/>
        <v>-81.1050662381538</v>
      </c>
      <c r="N32" s="1">
        <f>DEGREES(ASIN((G32-(J32-J33))/D32))</f>
        <v>8.01931456936269</v>
      </c>
      <c r="O32" s="1">
        <f>90-DEGREES(ACOS((F32-(L32-L33))/D32))</f>
        <v>1.06811307698176</v>
      </c>
      <c r="P32" s="1" t="s">
        <v>76</v>
      </c>
      <c r="Q32" s="1" t="s">
        <v>77</v>
      </c>
      <c r="R32" s="1" t="s">
        <v>71</v>
      </c>
      <c r="S32" s="1">
        <f t="shared" ref="S30:S37" si="13">16.5+D32*SIN(RADIANS(N32))</f>
        <v>248.5</v>
      </c>
      <c r="T32" s="1">
        <f t="shared" si="11"/>
        <v>-1712.5</v>
      </c>
      <c r="U32" s="1">
        <f>-5+D32*SIN(RADIANS(O32))</f>
        <v>26.0000000000001</v>
      </c>
    </row>
    <row r="33" spans="1:21">
      <c r="A33" s="1">
        <v>4</v>
      </c>
      <c r="B33" s="1">
        <v>5</v>
      </c>
      <c r="C33" s="1" t="s">
        <v>82</v>
      </c>
      <c r="D33" s="1">
        <f>HEX2DEC(C33)</f>
        <v>1643</v>
      </c>
      <c r="E33" s="1">
        <v>1643</v>
      </c>
      <c r="F33" s="1">
        <v>0</v>
      </c>
      <c r="G33" s="1">
        <v>0</v>
      </c>
      <c r="H33" s="1">
        <v>4</v>
      </c>
      <c r="I33" s="1">
        <v>5</v>
      </c>
      <c r="J33" s="1">
        <v>4.5</v>
      </c>
      <c r="K33" s="1">
        <v>-69.5</v>
      </c>
      <c r="L33" s="1">
        <v>-5</v>
      </c>
      <c r="M33" s="1">
        <f t="shared" si="10"/>
        <v>-90</v>
      </c>
      <c r="N33" s="1">
        <f>DEGREES(ASIN((G33-(J33-J33))/D33))</f>
        <v>0</v>
      </c>
      <c r="O33" s="1">
        <f>90-DEGREES(ACOS((F33-(L33-L33))/D33))</f>
        <v>0</v>
      </c>
      <c r="P33" s="1" t="s">
        <v>79</v>
      </c>
      <c r="Q33" s="1" t="s">
        <v>77</v>
      </c>
      <c r="R33" s="1" t="s">
        <v>71</v>
      </c>
      <c r="S33" s="1">
        <f>4.5+D33*SIN(RADIANS(N33))</f>
        <v>4.5</v>
      </c>
      <c r="T33" s="1">
        <f t="shared" si="11"/>
        <v>-1712.5</v>
      </c>
      <c r="U33" s="1">
        <f>-5+D33*SIN(RADIANS(O33))</f>
        <v>-5</v>
      </c>
    </row>
    <row r="34" spans="1:21">
      <c r="A34" s="1">
        <v>4</v>
      </c>
      <c r="B34" s="1">
        <v>6</v>
      </c>
      <c r="C34" s="1" t="s">
        <v>83</v>
      </c>
      <c r="D34" s="1">
        <f t="shared" si="0"/>
        <v>1677</v>
      </c>
      <c r="E34" s="1">
        <v>1643</v>
      </c>
      <c r="F34" s="1">
        <v>8</v>
      </c>
      <c r="G34" s="1">
        <v>-370</v>
      </c>
      <c r="H34" s="1">
        <v>4</v>
      </c>
      <c r="I34" s="1">
        <v>6</v>
      </c>
      <c r="J34" s="1">
        <v>-10.5</v>
      </c>
      <c r="K34" s="1">
        <v>-69.5</v>
      </c>
      <c r="L34" s="1">
        <v>-5</v>
      </c>
      <c r="M34" s="1">
        <f t="shared" si="10"/>
        <v>-78.4429484223497</v>
      </c>
      <c r="N34" s="1">
        <f>DEGREES(ASIN((G34-(J34-J33))/D34))</f>
        <v>-12.2212645938828</v>
      </c>
      <c r="O34" s="1">
        <f>90-DEGREES(ACOS((F34-(L34-L33))/D34))</f>
        <v>0.273326162566818</v>
      </c>
      <c r="P34" s="1" t="s">
        <v>80</v>
      </c>
      <c r="Q34" s="1" t="s">
        <v>77</v>
      </c>
      <c r="R34" s="1" t="s">
        <v>71</v>
      </c>
      <c r="S34" s="1">
        <f>-10.5+D34*SIN(RADIANS(N34))</f>
        <v>-365.5</v>
      </c>
      <c r="T34" s="1">
        <f t="shared" si="11"/>
        <v>-1712.5</v>
      </c>
      <c r="U34" s="1">
        <f>-5+D34*SIN(RADIANS(O34))</f>
        <v>2.99999999999997</v>
      </c>
    </row>
    <row r="35" spans="1:21">
      <c r="A35" s="1">
        <v>4</v>
      </c>
      <c r="B35" s="1">
        <v>7</v>
      </c>
      <c r="C35" s="1" t="s">
        <v>84</v>
      </c>
      <c r="D35" s="1">
        <f t="shared" si="0"/>
        <v>1674</v>
      </c>
      <c r="E35" s="1">
        <v>1643</v>
      </c>
      <c r="F35" s="1">
        <v>-146</v>
      </c>
      <c r="G35" s="1">
        <v>250</v>
      </c>
      <c r="H35" s="1">
        <v>4</v>
      </c>
      <c r="I35" s="1">
        <v>7</v>
      </c>
      <c r="J35" s="1">
        <v>16.5</v>
      </c>
      <c r="K35" s="1">
        <v>-69.5</v>
      </c>
      <c r="L35" s="1">
        <v>-26</v>
      </c>
      <c r="M35" s="1">
        <f t="shared" si="10"/>
        <v>-78.9563344730321</v>
      </c>
      <c r="N35" s="1">
        <f>DEGREES(ASIN((G35-(J35-J33))/D35))</f>
        <v>8.17369088122341</v>
      </c>
      <c r="O35" s="1">
        <f>90-DEGREES(ACOS((F35-(L35-L33))/D35))</f>
        <v>-4.28234459091347</v>
      </c>
      <c r="P35" s="1" t="s">
        <v>76</v>
      </c>
      <c r="Q35" s="1" t="s">
        <v>77</v>
      </c>
      <c r="R35" s="1" t="s">
        <v>74</v>
      </c>
      <c r="S35" s="1">
        <f t="shared" si="13"/>
        <v>254.5</v>
      </c>
      <c r="T35" s="1">
        <f t="shared" si="11"/>
        <v>-1712.5</v>
      </c>
      <c r="U35" s="1">
        <f>-26+D35*SIN(RADIANS(O35))</f>
        <v>-151</v>
      </c>
    </row>
    <row r="36" spans="1:21">
      <c r="A36" s="1">
        <v>4</v>
      </c>
      <c r="B36" s="1">
        <v>8</v>
      </c>
      <c r="C36" s="1">
        <v>675</v>
      </c>
      <c r="D36" s="1">
        <f t="shared" si="0"/>
        <v>1653</v>
      </c>
      <c r="E36" s="1">
        <v>1643</v>
      </c>
      <c r="F36" s="1">
        <v>-158</v>
      </c>
      <c r="G36" s="1">
        <v>-1</v>
      </c>
      <c r="H36" s="1">
        <v>4</v>
      </c>
      <c r="I36" s="1">
        <v>8</v>
      </c>
      <c r="J36" s="1">
        <v>4.5</v>
      </c>
      <c r="K36" s="1">
        <v>-69.5</v>
      </c>
      <c r="L36" s="1">
        <v>-26</v>
      </c>
      <c r="M36" s="1">
        <f t="shared" si="10"/>
        <v>-83.6944875248223</v>
      </c>
      <c r="N36" s="1">
        <f>DEGREES(ASIN((G36-(J36-J33))/D36))</f>
        <v>-0.0346616957095643</v>
      </c>
      <c r="O36" s="1">
        <f>90-DEGREES(ACOS((F36-(L36-L33))/D36))</f>
        <v>-4.75410533501307</v>
      </c>
      <c r="P36" s="1" t="s">
        <v>79</v>
      </c>
      <c r="Q36" s="1" t="s">
        <v>77</v>
      </c>
      <c r="R36" s="1" t="s">
        <v>74</v>
      </c>
      <c r="S36" s="1">
        <f>4.5+D36*SIN(RADIANS(N36))</f>
        <v>3.5</v>
      </c>
      <c r="T36" s="1">
        <f t="shared" si="11"/>
        <v>-1712.5</v>
      </c>
      <c r="U36" s="1">
        <f>-26+D36*SIN(RADIANS(O36))</f>
        <v>-163</v>
      </c>
    </row>
    <row r="37" spans="1:21">
      <c r="A37" s="1">
        <v>4</v>
      </c>
      <c r="B37" s="1">
        <v>9</v>
      </c>
      <c r="C37" s="1">
        <v>696</v>
      </c>
      <c r="D37" s="1">
        <f t="shared" si="0"/>
        <v>1686</v>
      </c>
      <c r="E37" s="1">
        <v>1643</v>
      </c>
      <c r="F37" s="1">
        <v>-168</v>
      </c>
      <c r="G37" s="1">
        <v>-359</v>
      </c>
      <c r="H37" s="1">
        <v>4</v>
      </c>
      <c r="I37" s="1">
        <v>9</v>
      </c>
      <c r="J37" s="1">
        <v>-10.5</v>
      </c>
      <c r="K37" s="1">
        <v>-69.5</v>
      </c>
      <c r="L37" s="1">
        <v>-26</v>
      </c>
      <c r="M37" s="1">
        <f t="shared" si="10"/>
        <v>-77.0320763360108</v>
      </c>
      <c r="N37" s="1">
        <f>DEGREES(ASIN((G37-(J37-J33))/D37))</f>
        <v>-11.7729102164728</v>
      </c>
      <c r="O37" s="1">
        <f>90-DEGREES(ACOS((F37-(L37-L33))/D37))</f>
        <v>-5.00189047167817</v>
      </c>
      <c r="P37" s="1" t="s">
        <v>80</v>
      </c>
      <c r="Q37" s="1" t="s">
        <v>77</v>
      </c>
      <c r="R37" s="1" t="s">
        <v>74</v>
      </c>
      <c r="S37" s="1">
        <f>-10.5+D37*SIN(RADIANS(N37))</f>
        <v>-354.5</v>
      </c>
      <c r="T37" s="1">
        <f t="shared" si="11"/>
        <v>-1712.5</v>
      </c>
      <c r="U37" s="1">
        <f>-26+D37*SIN(RADIANS(O37))</f>
        <v>-173</v>
      </c>
    </row>
    <row r="38" spans="1:21">
      <c r="A38" s="1">
        <v>5</v>
      </c>
      <c r="B38" s="1">
        <v>1</v>
      </c>
      <c r="C38" s="1">
        <v>685</v>
      </c>
      <c r="D38" s="1">
        <f t="shared" si="0"/>
        <v>1669</v>
      </c>
      <c r="E38" s="1">
        <v>1646</v>
      </c>
      <c r="F38" s="1">
        <v>192</v>
      </c>
      <c r="G38" s="1">
        <v>206</v>
      </c>
      <c r="H38" s="1">
        <v>5</v>
      </c>
      <c r="I38" s="1">
        <v>1</v>
      </c>
      <c r="J38" s="1">
        <v>20.5</v>
      </c>
      <c r="K38" s="1">
        <v>12.5</v>
      </c>
      <c r="L38" s="1">
        <v>-79</v>
      </c>
      <c r="M38" s="1">
        <f t="shared" si="10"/>
        <v>-80.4770087522656</v>
      </c>
      <c r="N38" s="1">
        <f>DEGREES(ASIN((G38-(J38-J42))/D38))</f>
        <v>6.36401786088937</v>
      </c>
      <c r="O38" s="1">
        <f>90-DEGREES(ACOS((F38-(K38-K42))/D38))</f>
        <v>6.19133529543397</v>
      </c>
      <c r="P38" s="1" t="s">
        <v>85</v>
      </c>
      <c r="Q38" s="1" t="s">
        <v>86</v>
      </c>
      <c r="R38" s="1" t="s">
        <v>87</v>
      </c>
      <c r="S38" s="1">
        <f>20.5+D38*SIN(RADIANS(N38))</f>
        <v>205.5</v>
      </c>
      <c r="T38" s="1">
        <f>12.5+D38*SIN(RADIANS(O38))</f>
        <v>192.5</v>
      </c>
      <c r="U38" s="1">
        <f>-79+D38*SIN(RADIANS(M38))</f>
        <v>-1725</v>
      </c>
    </row>
    <row r="39" spans="1:21">
      <c r="A39" s="1">
        <v>5</v>
      </c>
      <c r="B39" s="1">
        <v>2</v>
      </c>
      <c r="C39" s="1">
        <v>674</v>
      </c>
      <c r="D39" s="1">
        <f t="shared" si="0"/>
        <v>1652</v>
      </c>
      <c r="E39" s="1">
        <v>1646</v>
      </c>
      <c r="F39" s="1">
        <v>13</v>
      </c>
      <c r="G39" s="1">
        <v>163</v>
      </c>
      <c r="H39" s="1">
        <v>5</v>
      </c>
      <c r="I39" s="1">
        <v>2</v>
      </c>
      <c r="J39" s="1">
        <v>19.5</v>
      </c>
      <c r="K39" s="1">
        <v>0.5</v>
      </c>
      <c r="L39" s="1">
        <v>-79</v>
      </c>
      <c r="M39" s="1">
        <f t="shared" si="10"/>
        <v>-85.1152789618243</v>
      </c>
      <c r="N39" s="1">
        <f>DEGREES(ASIN((G39-(J39-J42))/D39))</f>
        <v>4.96583722697247</v>
      </c>
      <c r="O39" s="1">
        <f>90-DEGREES(ACOS((F39-(K39-K42))/D39))</f>
        <v>0.450879431790227</v>
      </c>
      <c r="P39" s="1" t="s">
        <v>88</v>
      </c>
      <c r="Q39" s="1" t="s">
        <v>89</v>
      </c>
      <c r="R39" s="1" t="s">
        <v>87</v>
      </c>
      <c r="S39" s="1">
        <f>19.5+D39*SIN(RADIANS(N39))</f>
        <v>162.5</v>
      </c>
      <c r="T39" s="1">
        <f>0.5+D39*SIN(RADIANS(O39))</f>
        <v>13.4999999999999</v>
      </c>
      <c r="U39" s="1">
        <f t="shared" ref="U39:U46" si="14">-79+D39*SIN(RADIANS(M39))</f>
        <v>-1725</v>
      </c>
    </row>
    <row r="40" spans="1:21">
      <c r="A40" s="1">
        <v>5</v>
      </c>
      <c r="B40" s="1">
        <v>3</v>
      </c>
      <c r="C40" s="1" t="s">
        <v>90</v>
      </c>
      <c r="D40" s="1">
        <f t="shared" si="0"/>
        <v>1659</v>
      </c>
      <c r="E40" s="1">
        <v>1646</v>
      </c>
      <c r="F40" s="1">
        <v>-254</v>
      </c>
      <c r="G40" s="1">
        <v>157</v>
      </c>
      <c r="H40" s="1">
        <v>5</v>
      </c>
      <c r="I40" s="1">
        <v>3</v>
      </c>
      <c r="J40" s="1">
        <v>20.5</v>
      </c>
      <c r="K40" s="1">
        <v>-14.5</v>
      </c>
      <c r="L40" s="1">
        <v>-79</v>
      </c>
      <c r="M40" s="1">
        <f t="shared" si="10"/>
        <v>-82.8225509607665</v>
      </c>
      <c r="N40" s="1">
        <f>DEGREES(ASIN((G40-(J40-J42))/D40))</f>
        <v>4.70221827798081</v>
      </c>
      <c r="O40" s="1">
        <f>90-DEGREES(ACOS((F40-(K40-K42))/D40))</f>
        <v>-8.28300532256588</v>
      </c>
      <c r="P40" s="1" t="s">
        <v>85</v>
      </c>
      <c r="Q40" s="1" t="s">
        <v>91</v>
      </c>
      <c r="R40" s="1" t="s">
        <v>87</v>
      </c>
      <c r="S40" s="1">
        <f t="shared" ref="S40" si="15">20.5+D40*SIN(RADIANS(N40))</f>
        <v>156.5</v>
      </c>
      <c r="T40" s="1">
        <f>-14.5+D40*SIN(RADIANS(O40))</f>
        <v>-253.5</v>
      </c>
      <c r="U40" s="1">
        <f t="shared" si="14"/>
        <v>-1725</v>
      </c>
    </row>
    <row r="41" spans="1:21">
      <c r="A41" s="1">
        <v>5</v>
      </c>
      <c r="B41" s="1">
        <v>4</v>
      </c>
      <c r="C41" s="1" t="s">
        <v>92</v>
      </c>
      <c r="D41" s="1">
        <f t="shared" si="0"/>
        <v>1663</v>
      </c>
      <c r="E41" s="1">
        <v>1646</v>
      </c>
      <c r="F41" s="1">
        <v>193</v>
      </c>
      <c r="G41" s="1">
        <v>15</v>
      </c>
      <c r="H41" s="1">
        <v>5</v>
      </c>
      <c r="I41" s="1">
        <v>4</v>
      </c>
      <c r="J41" s="1">
        <v>-0.5</v>
      </c>
      <c r="K41" s="1">
        <v>12.5</v>
      </c>
      <c r="L41" s="1">
        <v>-79</v>
      </c>
      <c r="M41" s="1">
        <f t="shared" si="10"/>
        <v>-81.8005140530759</v>
      </c>
      <c r="N41" s="1">
        <f>DEGREES(ASIN((G41-(J41-J42))/D41))</f>
        <v>0.516805981201298</v>
      </c>
      <c r="O41" s="1">
        <f>90-DEGREES(ACOS((F41-(K41-K42))/D41))</f>
        <v>6.2484190934038</v>
      </c>
      <c r="P41" s="1" t="s">
        <v>93</v>
      </c>
      <c r="Q41" s="1" t="s">
        <v>86</v>
      </c>
      <c r="R41" s="1" t="s">
        <v>87</v>
      </c>
      <c r="S41" s="1">
        <f>-0.5+D41*SIN(RADIANS(N41))</f>
        <v>14.5</v>
      </c>
      <c r="T41" s="1">
        <f t="shared" ref="T41:T44" si="16">12.5+D41*SIN(RADIANS(O41))</f>
        <v>193.5</v>
      </c>
      <c r="U41" s="1">
        <f t="shared" si="14"/>
        <v>-1725</v>
      </c>
    </row>
    <row r="42" spans="1:21">
      <c r="A42" s="1">
        <v>5</v>
      </c>
      <c r="B42" s="1">
        <v>5</v>
      </c>
      <c r="C42" s="1" t="s">
        <v>94</v>
      </c>
      <c r="D42" s="1">
        <f t="shared" si="0"/>
        <v>1646</v>
      </c>
      <c r="E42" s="1">
        <v>1646</v>
      </c>
      <c r="F42" s="1">
        <v>0</v>
      </c>
      <c r="G42" s="1">
        <v>0</v>
      </c>
      <c r="H42" s="1">
        <v>5</v>
      </c>
      <c r="I42" s="1">
        <v>5</v>
      </c>
      <c r="J42" s="1">
        <v>-0.5</v>
      </c>
      <c r="K42" s="1">
        <v>0.5</v>
      </c>
      <c r="L42" s="1">
        <v>-79</v>
      </c>
      <c r="M42" s="1">
        <f t="shared" si="10"/>
        <v>-90</v>
      </c>
      <c r="N42" s="1">
        <f>DEGREES(ASIN((G42-(J42-J42))/D42))</f>
        <v>0</v>
      </c>
      <c r="O42" s="1">
        <f>90-DEGREES(ACOS((F42-(K42-K42))/D42))</f>
        <v>0</v>
      </c>
      <c r="P42" s="1" t="s">
        <v>93</v>
      </c>
      <c r="Q42" s="1" t="s">
        <v>89</v>
      </c>
      <c r="R42" s="1" t="s">
        <v>87</v>
      </c>
      <c r="S42" s="1">
        <f>-0.5+D42*SIN(RADIANS(N42))</f>
        <v>-0.5</v>
      </c>
      <c r="T42" s="1">
        <f>0.5+D42*SIN(RADIANS(O42))</f>
        <v>0.5</v>
      </c>
      <c r="U42" s="1">
        <f t="shared" si="14"/>
        <v>-1725</v>
      </c>
    </row>
    <row r="43" spans="1:21">
      <c r="A43" s="1">
        <v>5</v>
      </c>
      <c r="B43" s="1">
        <v>6</v>
      </c>
      <c r="C43" s="1">
        <v>678</v>
      </c>
      <c r="D43" s="1">
        <f t="shared" si="0"/>
        <v>1656</v>
      </c>
      <c r="E43" s="1">
        <v>1646</v>
      </c>
      <c r="F43" s="1">
        <v>-241</v>
      </c>
      <c r="G43" s="1">
        <v>2</v>
      </c>
      <c r="H43" s="1">
        <v>5</v>
      </c>
      <c r="I43" s="1">
        <v>6</v>
      </c>
      <c r="J43" s="1">
        <v>-0.5</v>
      </c>
      <c r="K43" s="1">
        <v>-14.5</v>
      </c>
      <c r="L43" s="1">
        <v>-79</v>
      </c>
      <c r="M43" s="1">
        <f t="shared" si="10"/>
        <v>-83.7002073951261</v>
      </c>
      <c r="N43" s="1">
        <f>DEGREES(ASIN((G43-(J43-J42))/D43))</f>
        <v>0.0691978181664196</v>
      </c>
      <c r="O43" s="1">
        <f>90-DEGREES(ACOS((F43-(K43-K42))/D43))</f>
        <v>-7.84382983728558</v>
      </c>
      <c r="P43" s="1" t="s">
        <v>93</v>
      </c>
      <c r="Q43" s="1" t="s">
        <v>91</v>
      </c>
      <c r="R43" s="1" t="s">
        <v>87</v>
      </c>
      <c r="S43" s="1">
        <f>-0.5+D43*SIN(RADIANS(N43))</f>
        <v>1.5</v>
      </c>
      <c r="T43" s="1">
        <f>-14.5+D43*SIN(RADIANS(O43))</f>
        <v>-240.5</v>
      </c>
      <c r="U43" s="1">
        <f t="shared" si="14"/>
        <v>-1725</v>
      </c>
    </row>
    <row r="44" spans="1:21">
      <c r="A44" s="1">
        <v>5</v>
      </c>
      <c r="B44" s="1">
        <v>7</v>
      </c>
      <c r="C44" s="1" t="s">
        <v>95</v>
      </c>
      <c r="D44" s="1">
        <f t="shared" si="0"/>
        <v>1675</v>
      </c>
      <c r="E44" s="1">
        <v>1646</v>
      </c>
      <c r="F44" s="1">
        <v>206</v>
      </c>
      <c r="G44" s="1">
        <v>-148</v>
      </c>
      <c r="H44" s="1">
        <v>5</v>
      </c>
      <c r="I44" s="1">
        <v>7</v>
      </c>
      <c r="J44" s="1">
        <v>-21.5</v>
      </c>
      <c r="K44" s="1">
        <v>12.5</v>
      </c>
      <c r="L44" s="1">
        <v>-79</v>
      </c>
      <c r="M44" s="1">
        <f t="shared" si="10"/>
        <v>-79.3227892272675</v>
      </c>
      <c r="N44" s="1">
        <f>DEGREES(ASIN((G44-(J44-J42))/D44))</f>
        <v>-4.34839046251252</v>
      </c>
      <c r="O44" s="1">
        <f>90-DEGREES(ACOS((F44-(K44-K42))/D44))</f>
        <v>6.65097529860753</v>
      </c>
      <c r="P44" s="1" t="s">
        <v>96</v>
      </c>
      <c r="Q44" s="1" t="s">
        <v>86</v>
      </c>
      <c r="R44" s="1" t="s">
        <v>87</v>
      </c>
      <c r="S44" s="1">
        <f>-21.5+D44*SIN(RADIANS(N44))</f>
        <v>-148.5</v>
      </c>
      <c r="T44" s="1">
        <f t="shared" si="16"/>
        <v>206.5</v>
      </c>
      <c r="U44" s="1">
        <f t="shared" si="14"/>
        <v>-1725</v>
      </c>
    </row>
    <row r="45" spans="1:21">
      <c r="A45" s="1">
        <v>5</v>
      </c>
      <c r="B45" s="1">
        <v>8</v>
      </c>
      <c r="C45" s="1" t="s">
        <v>97</v>
      </c>
      <c r="D45" s="1">
        <f t="shared" si="0"/>
        <v>1658</v>
      </c>
      <c r="E45" s="1">
        <v>1646</v>
      </c>
      <c r="F45" s="1">
        <v>-11</v>
      </c>
      <c r="G45" s="1">
        <v>-147</v>
      </c>
      <c r="H45" s="1">
        <v>5</v>
      </c>
      <c r="I45" s="1">
        <v>8</v>
      </c>
      <c r="J45" s="1">
        <v>-21.5</v>
      </c>
      <c r="K45" s="1">
        <v>0.5</v>
      </c>
      <c r="L45" s="1">
        <v>-79</v>
      </c>
      <c r="M45" s="1">
        <f t="shared" si="10"/>
        <v>-83.1023956850881</v>
      </c>
      <c r="N45" s="1">
        <f>DEGREES(ASIN((G45-(J45-J42))/D45))</f>
        <v>-4.35840482908517</v>
      </c>
      <c r="O45" s="1">
        <f>90-DEGREES(ACOS((F45-(K45-K42))/D45))</f>
        <v>-0.380131603339493</v>
      </c>
      <c r="P45" s="1" t="s">
        <v>96</v>
      </c>
      <c r="Q45" s="1" t="s">
        <v>89</v>
      </c>
      <c r="R45" s="1" t="s">
        <v>87</v>
      </c>
      <c r="S45" s="1">
        <f>-21.5+D45*SIN(RADIANS(N45))</f>
        <v>-147.5</v>
      </c>
      <c r="T45" s="1">
        <f>0.5+D45*SIN(RADIANS(O45))</f>
        <v>-10.5000000000001</v>
      </c>
      <c r="U45" s="1">
        <f t="shared" si="14"/>
        <v>-1725</v>
      </c>
    </row>
    <row r="46" spans="1:21">
      <c r="A46" s="1">
        <v>5</v>
      </c>
      <c r="B46" s="1">
        <v>9</v>
      </c>
      <c r="C46" s="1">
        <v>681</v>
      </c>
      <c r="D46" s="1">
        <f t="shared" si="0"/>
        <v>1665</v>
      </c>
      <c r="E46" s="1">
        <v>1646</v>
      </c>
      <c r="F46" s="1">
        <v>-219</v>
      </c>
      <c r="G46" s="1">
        <v>-141</v>
      </c>
      <c r="H46" s="1">
        <v>5</v>
      </c>
      <c r="I46" s="1">
        <v>9</v>
      </c>
      <c r="J46" s="1">
        <v>-21.5</v>
      </c>
      <c r="K46" s="1">
        <v>-14.5</v>
      </c>
      <c r="L46" s="1">
        <v>-79</v>
      </c>
      <c r="M46" s="1">
        <f t="shared" si="10"/>
        <v>-81.3359455837874</v>
      </c>
      <c r="N46" s="1">
        <f>DEGREES(ASIN((G46-(J46-J42))/D46))</f>
        <v>-4.13300890285648</v>
      </c>
      <c r="O46" s="1">
        <f>90-DEGREES(ACOS((F46-(K46-K42))/D46))</f>
        <v>-7.0377069836485</v>
      </c>
      <c r="P46" s="1" t="s">
        <v>96</v>
      </c>
      <c r="Q46" s="1" t="s">
        <v>91</v>
      </c>
      <c r="R46" s="1" t="s">
        <v>87</v>
      </c>
      <c r="S46" s="1">
        <f>-21.5+D46*SIN(RADIANS(N46))</f>
        <v>-141.5</v>
      </c>
      <c r="T46" s="1">
        <f>-14.5+D46*SIN(RADIANS(O46))</f>
        <v>-218.5</v>
      </c>
      <c r="U46" s="1">
        <f t="shared" si="14"/>
        <v>-1725</v>
      </c>
    </row>
    <row r="52" spans="6:7">
      <c r="F52" s="4"/>
      <c r="G52" s="4"/>
    </row>
  </sheetData>
  <autoFilter ref="A1:Z46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各点位置坐标</vt:lpstr>
      <vt:lpstr>各点角度信息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袋袋</cp:lastModifiedBy>
  <dcterms:created xsi:type="dcterms:W3CDTF">2023-03-24T01:34:00Z</dcterms:created>
  <cp:lastPrinted>2023-03-28T01:31:00Z</cp:lastPrinted>
  <dcterms:modified xsi:type="dcterms:W3CDTF">2023-03-31T06:03:19Z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370B23CA6499459BB690CC7D17989A6F_13</vt:lpwstr>
  </property>
  <property fmtid="{D5CDD505-2E9C-101B-9397-08002B2CF9AE}" pid="3" name="KSOProductBuildVer">
    <vt:lpwstr>2052-11.1.0.14036</vt:lpwstr>
  </property>
</Properties>
</file>